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\148\BILDES\P_OGRE_12\"/>
    </mc:Choice>
  </mc:AlternateContent>
  <xr:revisionPtr revIDLastSave="0" documentId="13_ncr:1_{2EC2FE05-52B8-40F7-B9D5-683CAB26748A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Pamatbudžets   " sheetId="19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9" l="1"/>
  <c r="E65" i="19"/>
  <c r="F65" i="19"/>
  <c r="G65" i="19"/>
  <c r="H65" i="19"/>
  <c r="C65" i="19"/>
  <c r="F334" i="19"/>
  <c r="F104" i="19"/>
  <c r="F103" i="19" s="1"/>
  <c r="C113" i="19"/>
  <c r="C82" i="19"/>
  <c r="I82" i="19"/>
  <c r="C101" i="19"/>
  <c r="I101" i="19" s="1"/>
  <c r="C231" i="19"/>
  <c r="I231" i="19"/>
  <c r="C222" i="19"/>
  <c r="I222" i="19" s="1"/>
  <c r="C304" i="19"/>
  <c r="I304" i="19"/>
  <c r="I98" i="19"/>
  <c r="C254" i="19"/>
  <c r="I254" i="19" s="1"/>
  <c r="I302" i="19"/>
  <c r="C319" i="19"/>
  <c r="F81" i="19"/>
  <c r="C252" i="19"/>
  <c r="I252" i="19" s="1"/>
  <c r="C251" i="19"/>
  <c r="I251" i="19" s="1"/>
  <c r="C250" i="19"/>
  <c r="C330" i="19"/>
  <c r="I330" i="19" s="1"/>
  <c r="C328" i="19"/>
  <c r="C327" i="19" s="1"/>
  <c r="I328" i="19"/>
  <c r="C286" i="19"/>
  <c r="I286" i="19" s="1"/>
  <c r="C284" i="19"/>
  <c r="C268" i="19"/>
  <c r="I268" i="19" s="1"/>
  <c r="C267" i="19"/>
  <c r="C257" i="19"/>
  <c r="I257" i="19" s="1"/>
  <c r="C256" i="19"/>
  <c r="I256" i="19" s="1"/>
  <c r="C248" i="19"/>
  <c r="I248" i="19" s="1"/>
  <c r="C247" i="19"/>
  <c r="I247" i="19" s="1"/>
  <c r="C246" i="19"/>
  <c r="I246" i="19" s="1"/>
  <c r="C245" i="19"/>
  <c r="I245" i="19" s="1"/>
  <c r="C244" i="19"/>
  <c r="I244" i="19" s="1"/>
  <c r="C243" i="19"/>
  <c r="I243" i="19" s="1"/>
  <c r="C242" i="19"/>
  <c r="I242" i="19" s="1"/>
  <c r="C241" i="19"/>
  <c r="I241" i="19" s="1"/>
  <c r="C240" i="19"/>
  <c r="I240" i="19" s="1"/>
  <c r="C238" i="19"/>
  <c r="I238" i="19" s="1"/>
  <c r="C237" i="19"/>
  <c r="I237" i="19" s="1"/>
  <c r="C236" i="19"/>
  <c r="I236" i="19" s="1"/>
  <c r="C235" i="19"/>
  <c r="I235" i="19" s="1"/>
  <c r="C234" i="19"/>
  <c r="I234" i="19" s="1"/>
  <c r="C233" i="19"/>
  <c r="I233" i="19" s="1"/>
  <c r="C232" i="19"/>
  <c r="I232" i="19" s="1"/>
  <c r="C229" i="19"/>
  <c r="C228" i="19" s="1"/>
  <c r="C227" i="19"/>
  <c r="I227" i="19" s="1"/>
  <c r="C226" i="19"/>
  <c r="I226" i="19"/>
  <c r="C225" i="19"/>
  <c r="I225" i="19" s="1"/>
  <c r="C224" i="19"/>
  <c r="I224" i="19" s="1"/>
  <c r="C223" i="19"/>
  <c r="I223" i="19" s="1"/>
  <c r="C221" i="19"/>
  <c r="I221" i="19" s="1"/>
  <c r="C220" i="19"/>
  <c r="I220" i="19" s="1"/>
  <c r="C219" i="19"/>
  <c r="I219" i="19"/>
  <c r="C218" i="19"/>
  <c r="I218" i="19" s="1"/>
  <c r="C217" i="19"/>
  <c r="I217" i="19" s="1"/>
  <c r="C216" i="19"/>
  <c r="I216" i="19" s="1"/>
  <c r="C215" i="19"/>
  <c r="I215" i="19"/>
  <c r="C214" i="19"/>
  <c r="C201" i="19"/>
  <c r="C200" i="19" s="1"/>
  <c r="C199" i="19"/>
  <c r="C182" i="19"/>
  <c r="I182" i="19" s="1"/>
  <c r="C197" i="19"/>
  <c r="I197" i="19" s="1"/>
  <c r="C180" i="19"/>
  <c r="C154" i="19"/>
  <c r="C153" i="19" s="1"/>
  <c r="C143" i="19"/>
  <c r="I143" i="19" s="1"/>
  <c r="C133" i="19"/>
  <c r="I133" i="19" s="1"/>
  <c r="C125" i="19"/>
  <c r="I125" i="19" s="1"/>
  <c r="C118" i="19"/>
  <c r="I118" i="19" s="1"/>
  <c r="C117" i="19"/>
  <c r="I117" i="19"/>
  <c r="C93" i="19"/>
  <c r="I93" i="19" s="1"/>
  <c r="C92" i="19"/>
  <c r="I92" i="19"/>
  <c r="C88" i="19"/>
  <c r="I88" i="19" s="1"/>
  <c r="C75" i="19"/>
  <c r="C71" i="19" s="1"/>
  <c r="I75" i="19"/>
  <c r="C54" i="19"/>
  <c r="I54" i="19" s="1"/>
  <c r="C44" i="19"/>
  <c r="I44" i="19" s="1"/>
  <c r="C43" i="19"/>
  <c r="I43" i="19" s="1"/>
  <c r="C37" i="19"/>
  <c r="I37" i="19" s="1"/>
  <c r="C34" i="19"/>
  <c r="C30" i="19"/>
  <c r="I30" i="19" s="1"/>
  <c r="C29" i="19"/>
  <c r="I29" i="19" s="1"/>
  <c r="C28" i="19"/>
  <c r="I28" i="19" s="1"/>
  <c r="C27" i="19"/>
  <c r="C19" i="19"/>
  <c r="I19" i="19" s="1"/>
  <c r="C13" i="19"/>
  <c r="E179" i="19"/>
  <c r="E178" i="19" s="1"/>
  <c r="I270" i="19"/>
  <c r="I271" i="19"/>
  <c r="H269" i="19"/>
  <c r="G269" i="19"/>
  <c r="F269" i="19"/>
  <c r="E269" i="19"/>
  <c r="D269" i="19"/>
  <c r="D334" i="19"/>
  <c r="I334" i="19" s="1"/>
  <c r="D320" i="19"/>
  <c r="D319" i="19" s="1"/>
  <c r="I282" i="19"/>
  <c r="I289" i="19"/>
  <c r="I288" i="19"/>
  <c r="I367" i="19"/>
  <c r="I366" i="19"/>
  <c r="I365" i="19"/>
  <c r="I364" i="19"/>
  <c r="I363" i="19"/>
  <c r="I362" i="19"/>
  <c r="I361" i="19"/>
  <c r="I360" i="19"/>
  <c r="H359" i="19"/>
  <c r="G359" i="19"/>
  <c r="F359" i="19"/>
  <c r="E359" i="19"/>
  <c r="D359" i="19"/>
  <c r="C359" i="19"/>
  <c r="I359" i="19" s="1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H344" i="19"/>
  <c r="H368" i="19" s="1"/>
  <c r="G344" i="19"/>
  <c r="G368" i="19" s="1"/>
  <c r="F344" i="19"/>
  <c r="E344" i="19"/>
  <c r="D344" i="19"/>
  <c r="C344" i="19"/>
  <c r="I344" i="19" s="1"/>
  <c r="I343" i="19"/>
  <c r="I342" i="19"/>
  <c r="I333" i="19"/>
  <c r="I332" i="19"/>
  <c r="I331" i="19"/>
  <c r="H327" i="19"/>
  <c r="G327" i="19"/>
  <c r="F327" i="19"/>
  <c r="E327" i="19"/>
  <c r="D327" i="19"/>
  <c r="I326" i="19"/>
  <c r="I325" i="19"/>
  <c r="I324" i="19"/>
  <c r="I323" i="19"/>
  <c r="I322" i="19"/>
  <c r="I321" i="19"/>
  <c r="H319" i="19"/>
  <c r="H316" i="19"/>
  <c r="G319" i="19"/>
  <c r="G316" i="19" s="1"/>
  <c r="F319" i="19"/>
  <c r="E319" i="19"/>
  <c r="I318" i="19"/>
  <c r="I317" i="19"/>
  <c r="I315" i="19"/>
  <c r="I314" i="19"/>
  <c r="I313" i="19"/>
  <c r="I312" i="19"/>
  <c r="I311" i="19"/>
  <c r="I310" i="19"/>
  <c r="I309" i="19"/>
  <c r="I308" i="19"/>
  <c r="I307" i="19"/>
  <c r="I306" i="19"/>
  <c r="I305" i="19"/>
  <c r="I303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7" i="19"/>
  <c r="I285" i="19"/>
  <c r="I283" i="19"/>
  <c r="I281" i="19"/>
  <c r="I280" i="19"/>
  <c r="I279" i="19"/>
  <c r="I278" i="19"/>
  <c r="I277" i="19"/>
  <c r="I276" i="19"/>
  <c r="I275" i="19"/>
  <c r="I274" i="19"/>
  <c r="I273" i="19"/>
  <c r="I272" i="19"/>
  <c r="I266" i="19"/>
  <c r="I265" i="19"/>
  <c r="I264" i="19"/>
  <c r="H263" i="19"/>
  <c r="G263" i="19"/>
  <c r="F263" i="19"/>
  <c r="E263" i="19"/>
  <c r="D263" i="19"/>
  <c r="I263" i="19" s="1"/>
  <c r="C263" i="19"/>
  <c r="I262" i="19"/>
  <c r="H261" i="19"/>
  <c r="G261" i="19"/>
  <c r="G260" i="19" s="1"/>
  <c r="F261" i="19"/>
  <c r="E261" i="19"/>
  <c r="D261" i="19"/>
  <c r="C261" i="19"/>
  <c r="I261" i="19" s="1"/>
  <c r="I259" i="19"/>
  <c r="I258" i="19"/>
  <c r="I255" i="19"/>
  <c r="I253" i="19"/>
  <c r="H249" i="19"/>
  <c r="G249" i="19"/>
  <c r="F249" i="19"/>
  <c r="E249" i="19"/>
  <c r="D249" i="19"/>
  <c r="I239" i="19"/>
  <c r="H230" i="19"/>
  <c r="G230" i="19"/>
  <c r="F230" i="19"/>
  <c r="E230" i="19"/>
  <c r="D230" i="19"/>
  <c r="H228" i="19"/>
  <c r="G228" i="19"/>
  <c r="F228" i="19"/>
  <c r="E228" i="19"/>
  <c r="D228" i="19"/>
  <c r="H213" i="19"/>
  <c r="G213" i="19"/>
  <c r="F213" i="19"/>
  <c r="E213" i="19"/>
  <c r="D213" i="19"/>
  <c r="I211" i="19"/>
  <c r="I210" i="19"/>
  <c r="I209" i="19"/>
  <c r="I208" i="19"/>
  <c r="H207" i="19"/>
  <c r="G207" i="19"/>
  <c r="F207" i="19"/>
  <c r="E207" i="19"/>
  <c r="D207" i="19"/>
  <c r="C207" i="19"/>
  <c r="I206" i="19"/>
  <c r="I205" i="19"/>
  <c r="I204" i="19"/>
  <c r="I203" i="19"/>
  <c r="I202" i="19"/>
  <c r="H200" i="19"/>
  <c r="G200" i="19"/>
  <c r="F200" i="19"/>
  <c r="E200" i="19"/>
  <c r="D200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1" i="19"/>
  <c r="H178" i="19"/>
  <c r="G178" i="19"/>
  <c r="F178" i="19"/>
  <c r="D178" i="19"/>
  <c r="I177" i="19"/>
  <c r="I176" i="19"/>
  <c r="I175" i="19"/>
  <c r="I174" i="19"/>
  <c r="I173" i="19"/>
  <c r="I172" i="19"/>
  <c r="I171" i="19"/>
  <c r="H170" i="19"/>
  <c r="G170" i="19"/>
  <c r="F170" i="19"/>
  <c r="E170" i="19"/>
  <c r="D170" i="19"/>
  <c r="I170" i="19" s="1"/>
  <c r="C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H153" i="19"/>
  <c r="G153" i="19"/>
  <c r="G152" i="19" s="1"/>
  <c r="F153" i="19"/>
  <c r="E153" i="19"/>
  <c r="D153" i="19"/>
  <c r="I151" i="19"/>
  <c r="C150" i="19"/>
  <c r="C147" i="19" s="1"/>
  <c r="I150" i="19"/>
  <c r="I149" i="19"/>
  <c r="I148" i="19"/>
  <c r="H147" i="19"/>
  <c r="G147" i="19"/>
  <c r="F147" i="19"/>
  <c r="E147" i="19"/>
  <c r="D147" i="19"/>
  <c r="I145" i="19"/>
  <c r="I144" i="19"/>
  <c r="H142" i="19"/>
  <c r="G142" i="19"/>
  <c r="F142" i="19"/>
  <c r="E142" i="19"/>
  <c r="D142" i="19"/>
  <c r="I141" i="19"/>
  <c r="I140" i="19"/>
  <c r="H139" i="19"/>
  <c r="G139" i="19"/>
  <c r="F139" i="19"/>
  <c r="E139" i="19"/>
  <c r="D139" i="19"/>
  <c r="C139" i="19"/>
  <c r="I137" i="19"/>
  <c r="I136" i="19"/>
  <c r="I135" i="19"/>
  <c r="I134" i="19"/>
  <c r="I132" i="19"/>
  <c r="I131" i="19"/>
  <c r="I130" i="19"/>
  <c r="I129" i="19"/>
  <c r="I128" i="19"/>
  <c r="I127" i="19"/>
  <c r="I126" i="19"/>
  <c r="I124" i="19"/>
  <c r="I123" i="19"/>
  <c r="I122" i="19"/>
  <c r="I121" i="19"/>
  <c r="I120" i="19"/>
  <c r="I119" i="19"/>
  <c r="I116" i="19"/>
  <c r="I115" i="19"/>
  <c r="I114" i="19"/>
  <c r="I112" i="19"/>
  <c r="I111" i="19"/>
  <c r="I110" i="19"/>
  <c r="I109" i="19"/>
  <c r="I108" i="19"/>
  <c r="I107" i="19"/>
  <c r="I106" i="19"/>
  <c r="I105" i="19"/>
  <c r="H103" i="19"/>
  <c r="G103" i="19"/>
  <c r="E103" i="19"/>
  <c r="D103" i="19"/>
  <c r="I102" i="19"/>
  <c r="H100" i="19"/>
  <c r="G100" i="19"/>
  <c r="F100" i="19"/>
  <c r="E100" i="19"/>
  <c r="D100" i="19"/>
  <c r="I99" i="19"/>
  <c r="I97" i="19"/>
  <c r="I96" i="19"/>
  <c r="I95" i="19"/>
  <c r="I94" i="19"/>
  <c r="I91" i="19"/>
  <c r="I90" i="19"/>
  <c r="H89" i="19"/>
  <c r="H87" i="19" s="1"/>
  <c r="G89" i="19"/>
  <c r="F89" i="19"/>
  <c r="E89" i="19"/>
  <c r="D89" i="19"/>
  <c r="D87" i="19" s="1"/>
  <c r="I86" i="19"/>
  <c r="H85" i="19"/>
  <c r="G85" i="19"/>
  <c r="F85" i="19"/>
  <c r="E85" i="19"/>
  <c r="D85" i="19"/>
  <c r="C85" i="19"/>
  <c r="I84" i="19"/>
  <c r="H83" i="19"/>
  <c r="G83" i="19"/>
  <c r="F83" i="19"/>
  <c r="E83" i="19"/>
  <c r="D83" i="19"/>
  <c r="C83" i="19"/>
  <c r="I80" i="19"/>
  <c r="I79" i="19"/>
  <c r="I78" i="19"/>
  <c r="I77" i="19"/>
  <c r="I76" i="19"/>
  <c r="I74" i="19"/>
  <c r="I73" i="19"/>
  <c r="I72" i="19"/>
  <c r="H71" i="19"/>
  <c r="G71" i="19"/>
  <c r="E71" i="19"/>
  <c r="D71" i="19"/>
  <c r="I70" i="19"/>
  <c r="H69" i="19"/>
  <c r="H68" i="19" s="1"/>
  <c r="G69" i="19"/>
  <c r="F69" i="19"/>
  <c r="E69" i="19"/>
  <c r="D69" i="19"/>
  <c r="D68" i="19" s="1"/>
  <c r="C69" i="19"/>
  <c r="I67" i="19"/>
  <c r="I66" i="19"/>
  <c r="I64" i="19"/>
  <c r="I63" i="19"/>
  <c r="I62" i="19"/>
  <c r="I61" i="19"/>
  <c r="I60" i="19"/>
  <c r="I59" i="19"/>
  <c r="I58" i="19"/>
  <c r="I57" i="19"/>
  <c r="C56" i="19"/>
  <c r="I56" i="19" s="1"/>
  <c r="I55" i="19"/>
  <c r="I53" i="19"/>
  <c r="I52" i="19"/>
  <c r="I51" i="19"/>
  <c r="I50" i="19"/>
  <c r="I49" i="19"/>
  <c r="I48" i="19"/>
  <c r="I47" i="19"/>
  <c r="I46" i="19"/>
  <c r="I45" i="19"/>
  <c r="I42" i="19"/>
  <c r="I41" i="19"/>
  <c r="I40" i="19"/>
  <c r="I39" i="19"/>
  <c r="I38" i="19"/>
  <c r="I36" i="19"/>
  <c r="I35" i="19"/>
  <c r="H33" i="19"/>
  <c r="G33" i="19"/>
  <c r="F33" i="19"/>
  <c r="E33" i="19"/>
  <c r="D33" i="19"/>
  <c r="I32" i="19"/>
  <c r="I31" i="19"/>
  <c r="H26" i="19"/>
  <c r="G26" i="19"/>
  <c r="F26" i="19"/>
  <c r="E26" i="19"/>
  <c r="D26" i="19"/>
  <c r="I24" i="19"/>
  <c r="I23" i="19"/>
  <c r="I22" i="19"/>
  <c r="I21" i="19"/>
  <c r="H20" i="19"/>
  <c r="G20" i="19"/>
  <c r="F20" i="19"/>
  <c r="E20" i="19"/>
  <c r="D20" i="19"/>
  <c r="C20" i="19"/>
  <c r="I18" i="19"/>
  <c r="H17" i="19"/>
  <c r="G17" i="19"/>
  <c r="F17" i="19"/>
  <c r="E17" i="19"/>
  <c r="D17" i="19"/>
  <c r="C17" i="19"/>
  <c r="I16" i="19"/>
  <c r="I15" i="19"/>
  <c r="H14" i="19"/>
  <c r="H10" i="19" s="1"/>
  <c r="G14" i="19"/>
  <c r="G10" i="19"/>
  <c r="F14" i="19"/>
  <c r="E14" i="19"/>
  <c r="D14" i="19"/>
  <c r="C14" i="19"/>
  <c r="I12" i="19"/>
  <c r="I11" i="19"/>
  <c r="F260" i="19"/>
  <c r="I104" i="19"/>
  <c r="D368" i="19"/>
  <c r="E260" i="19"/>
  <c r="E316" i="19"/>
  <c r="F368" i="19"/>
  <c r="F316" i="19"/>
  <c r="E368" i="19"/>
  <c r="F25" i="19" l="1"/>
  <c r="C142" i="19"/>
  <c r="I14" i="19"/>
  <c r="G138" i="19"/>
  <c r="I207" i="19"/>
  <c r="C138" i="19"/>
  <c r="E10" i="19"/>
  <c r="D25" i="19"/>
  <c r="H25" i="19"/>
  <c r="I154" i="19"/>
  <c r="C100" i="19"/>
  <c r="I200" i="19"/>
  <c r="I228" i="19"/>
  <c r="C368" i="19"/>
  <c r="D10" i="19"/>
  <c r="I17" i="19"/>
  <c r="G25" i="19"/>
  <c r="I65" i="19"/>
  <c r="E68" i="19"/>
  <c r="I85" i="19"/>
  <c r="F138" i="19"/>
  <c r="I147" i="19"/>
  <c r="F152" i="19"/>
  <c r="F146" i="19" s="1"/>
  <c r="D260" i="19"/>
  <c r="H260" i="19"/>
  <c r="I320" i="19"/>
  <c r="E212" i="19"/>
  <c r="C230" i="19"/>
  <c r="I230" i="19" s="1"/>
  <c r="I83" i="19"/>
  <c r="F87" i="19"/>
  <c r="G146" i="19"/>
  <c r="G329" i="19" s="1"/>
  <c r="G335" i="19" s="1"/>
  <c r="I368" i="19"/>
  <c r="D316" i="19"/>
  <c r="F10" i="19"/>
  <c r="E25" i="19"/>
  <c r="I69" i="19"/>
  <c r="G68" i="19"/>
  <c r="G87" i="19"/>
  <c r="D138" i="19"/>
  <c r="H138" i="19"/>
  <c r="D152" i="19"/>
  <c r="D146" i="19" s="1"/>
  <c r="H152" i="19"/>
  <c r="H146" i="19" s="1"/>
  <c r="H329" i="19" s="1"/>
  <c r="G212" i="19"/>
  <c r="I179" i="19"/>
  <c r="C89" i="19"/>
  <c r="I89" i="19" s="1"/>
  <c r="I142" i="19"/>
  <c r="I201" i="19"/>
  <c r="I229" i="19"/>
  <c r="I100" i="19"/>
  <c r="H212" i="19"/>
  <c r="D212" i="19"/>
  <c r="F212" i="19"/>
  <c r="E152" i="19"/>
  <c r="E138" i="19"/>
  <c r="I139" i="19"/>
  <c r="E87" i="19"/>
  <c r="C68" i="19"/>
  <c r="I20" i="19"/>
  <c r="I113" i="19"/>
  <c r="C103" i="19"/>
  <c r="I81" i="19"/>
  <c r="F71" i="19"/>
  <c r="C249" i="19"/>
  <c r="I249" i="19" s="1"/>
  <c r="I250" i="19"/>
  <c r="I327" i="19"/>
  <c r="C316" i="19"/>
  <c r="I284" i="19"/>
  <c r="I269" i="19" s="1"/>
  <c r="C269" i="19"/>
  <c r="I267" i="19"/>
  <c r="I260" i="19" s="1"/>
  <c r="C260" i="19"/>
  <c r="I214" i="19"/>
  <c r="C213" i="19"/>
  <c r="I199" i="19"/>
  <c r="C198" i="19"/>
  <c r="I198" i="19" s="1"/>
  <c r="I180" i="19"/>
  <c r="C178" i="19"/>
  <c r="I178" i="19" s="1"/>
  <c r="I153" i="19"/>
  <c r="I34" i="19"/>
  <c r="I33" i="19" s="1"/>
  <c r="C33" i="19"/>
  <c r="I27" i="19"/>
  <c r="C26" i="19"/>
  <c r="I13" i="19"/>
  <c r="C10" i="19"/>
  <c r="I319" i="19"/>
  <c r="I10" i="19" l="1"/>
  <c r="I138" i="19"/>
  <c r="I316" i="19"/>
  <c r="H335" i="19"/>
  <c r="D329" i="19"/>
  <c r="D335" i="19" s="1"/>
  <c r="C152" i="19"/>
  <c r="C146" i="19" s="1"/>
  <c r="I103" i="19"/>
  <c r="I87" i="19" s="1"/>
  <c r="C87" i="19"/>
  <c r="I71" i="19"/>
  <c r="F68" i="19"/>
  <c r="C212" i="19"/>
  <c r="I212" i="19" s="1"/>
  <c r="I213" i="19"/>
  <c r="I26" i="19"/>
  <c r="I25" i="19" s="1"/>
  <c r="C25" i="19"/>
  <c r="I152" i="19"/>
  <c r="E146" i="19"/>
  <c r="I146" i="19" s="1"/>
  <c r="E329" i="19" l="1"/>
  <c r="E335" i="19" s="1"/>
  <c r="F329" i="19"/>
  <c r="F335" i="19" s="1"/>
  <c r="I68" i="19"/>
  <c r="C329" i="19"/>
  <c r="I329" i="19" s="1"/>
  <c r="C335" i="19" l="1"/>
  <c r="I335" i="19"/>
  <c r="I337" i="19" s="1"/>
</calcChain>
</file>

<file path=xl/sharedStrings.xml><?xml version="1.0" encoding="utf-8"?>
<sst xmlns="http://schemas.openxmlformats.org/spreadsheetml/2006/main" count="699" uniqueCount="687">
  <si>
    <t>Izglītība</t>
  </si>
  <si>
    <t>04.000</t>
  </si>
  <si>
    <t>05.200</t>
  </si>
  <si>
    <t>06.000</t>
  </si>
  <si>
    <t>07.000</t>
  </si>
  <si>
    <t>Kultūra</t>
  </si>
  <si>
    <t>08.000</t>
  </si>
  <si>
    <t>10.000</t>
  </si>
  <si>
    <t>Kods</t>
  </si>
  <si>
    <t>05.000</t>
  </si>
  <si>
    <t>Kopā izdevumi:</t>
  </si>
  <si>
    <t>01.000</t>
  </si>
  <si>
    <t>Vispārējie valdības dienesti</t>
  </si>
  <si>
    <t>01.720</t>
  </si>
  <si>
    <t>Pašvaldību budžetu parāda darījumi</t>
  </si>
  <si>
    <t>01.721</t>
  </si>
  <si>
    <t>01.830</t>
  </si>
  <si>
    <t>Vispārēja rakstura transferti no pašvaldību budžeta pašvaldību budžetam</t>
  </si>
  <si>
    <t>01.890</t>
  </si>
  <si>
    <t>03.000</t>
  </si>
  <si>
    <t>Sabiedriskā kārtība un drošība</t>
  </si>
  <si>
    <t>Ekonomiskā darbība</t>
  </si>
  <si>
    <t>04.111</t>
  </si>
  <si>
    <t>Vispārējas ekonomiskas darbības vadība</t>
  </si>
  <si>
    <t>04.510</t>
  </si>
  <si>
    <t>Autotransports</t>
  </si>
  <si>
    <t>Vides aizsardzība</t>
  </si>
  <si>
    <t>05.100</t>
  </si>
  <si>
    <t>Atkritumu apsaimniekošana</t>
  </si>
  <si>
    <t>Notekūdeņu apsaimniekošana</t>
  </si>
  <si>
    <t>Pašvaldības teritoriju un mājokļu apsaimniekošana</t>
  </si>
  <si>
    <t>06.300</t>
  </si>
  <si>
    <t>Ūdensapgāde</t>
  </si>
  <si>
    <t>Ielu apgaismošana</t>
  </si>
  <si>
    <t>06.600</t>
  </si>
  <si>
    <t>Pārējā citur nekvalificētā pašvaldību teritoriju un mājokļu apsaimniekošanas darbība</t>
  </si>
  <si>
    <t>Veselība</t>
  </si>
  <si>
    <t>07.210</t>
  </si>
  <si>
    <t>Ambulatorās ārstniecības iestādes</t>
  </si>
  <si>
    <t>Atpūta, kultūra un reliģija</t>
  </si>
  <si>
    <t>08.100</t>
  </si>
  <si>
    <t>Atpūtas un sporta  pasākumi</t>
  </si>
  <si>
    <t>08.200</t>
  </si>
  <si>
    <t>08.230</t>
  </si>
  <si>
    <t>08.290</t>
  </si>
  <si>
    <t>09.000</t>
  </si>
  <si>
    <t>09.100</t>
  </si>
  <si>
    <t>PII  "Cīrulītis"</t>
  </si>
  <si>
    <t>PII  "Dzīpariņš"</t>
  </si>
  <si>
    <t>PII  "Zelta sietiņš"</t>
  </si>
  <si>
    <t>PII  "Saulīte"</t>
  </si>
  <si>
    <t>PII " Ābelīte"</t>
  </si>
  <si>
    <t>09.211</t>
  </si>
  <si>
    <t>09.510</t>
  </si>
  <si>
    <t>Interešu un profesionālās ievirzes izglītība</t>
  </si>
  <si>
    <t>09.820</t>
  </si>
  <si>
    <t>Sociālā aizsardzība</t>
  </si>
  <si>
    <t>10.700</t>
  </si>
  <si>
    <t>Pārējais citur neklasificēts atbalsts sociāli atstumtām personām</t>
  </si>
  <si>
    <t>Nemateriālie ieguldījumi</t>
  </si>
  <si>
    <t xml:space="preserve">    Muzeji un izstādes</t>
  </si>
  <si>
    <t>PII " Strautiņš"</t>
  </si>
  <si>
    <t xml:space="preserve">Pozīcijas nosaukums             </t>
  </si>
  <si>
    <t>Būvvalde</t>
  </si>
  <si>
    <t xml:space="preserve">    Bibliotēkas </t>
  </si>
  <si>
    <t>PII "Riekstiņš"</t>
  </si>
  <si>
    <t>PII "Taurenītis"</t>
  </si>
  <si>
    <t xml:space="preserve">Ķeipenes pamatskola </t>
  </si>
  <si>
    <t>Madlienas vidusskola</t>
  </si>
  <si>
    <t>09.219</t>
  </si>
  <si>
    <t>09.600</t>
  </si>
  <si>
    <t>Izglītības papildu pakalpojumi</t>
  </si>
  <si>
    <t>Atbalsts bezdarba gadījumā</t>
  </si>
  <si>
    <t xml:space="preserve">Sabiedriskās organizācijas </t>
  </si>
  <si>
    <t>Preces un pakalpojumi</t>
  </si>
  <si>
    <t>Pakalpojumi</t>
  </si>
  <si>
    <t>Krājumi,materiāli,energoresursi,prece,biroja preces un inventārs, ko neuzskaita  5000. kodā</t>
  </si>
  <si>
    <t>Izdevumi periodikas iegādei</t>
  </si>
  <si>
    <t>Budžeta iestāžu nodokļu maksājumi</t>
  </si>
  <si>
    <t xml:space="preserve">Pārējie procentu maksājumi </t>
  </si>
  <si>
    <t>Pamatlīdzekļi</t>
  </si>
  <si>
    <t xml:space="preserve">Sociālie pabalsti naudā </t>
  </si>
  <si>
    <t>Sociālie pabalsti natūrā</t>
  </si>
  <si>
    <t xml:space="preserve"> IZDEVUMI KOPĀ</t>
  </si>
  <si>
    <t>Suntažu pagasta pārvalde</t>
  </si>
  <si>
    <t>Madlienas pagasta pārvalde</t>
  </si>
  <si>
    <t>Meņģeles pagasta pārvalde</t>
  </si>
  <si>
    <t>Mazozolu pagasta pārvalde</t>
  </si>
  <si>
    <t>Atalgojums</t>
  </si>
  <si>
    <t>Lauberes pagasta pārvalde</t>
  </si>
  <si>
    <t>Taurupes pagasta pārvalde</t>
  </si>
  <si>
    <t>Ķeipenes pagasta pārvalde</t>
  </si>
  <si>
    <t>Krapes pagasta pārvalde</t>
  </si>
  <si>
    <t>01.100</t>
  </si>
  <si>
    <t xml:space="preserve">Izpildvaras un likumdošanas varas  institūcijas </t>
  </si>
  <si>
    <t>Vispārēja rakstura transferti no pašvaldību budžeta valsts budžetam</t>
  </si>
  <si>
    <t xml:space="preserve">Izdevumi neparedzētiem gadījumiem </t>
  </si>
  <si>
    <t>04.11101</t>
  </si>
  <si>
    <t>Uzņēmējdarbības  attīstības veicināšanai</t>
  </si>
  <si>
    <t>04.51004</t>
  </si>
  <si>
    <t>Pārējais autotransports</t>
  </si>
  <si>
    <t>05.1001</t>
  </si>
  <si>
    <t>05.2001</t>
  </si>
  <si>
    <t>05.300</t>
  </si>
  <si>
    <t>Vides piesārņojuma novēršana un samazināšana</t>
  </si>
  <si>
    <t>05.400</t>
  </si>
  <si>
    <t>Bioloģiskās daudzveidības un ainavas aizsardzība</t>
  </si>
  <si>
    <t>Teritoriju attīstība ( projektēšanai )</t>
  </si>
  <si>
    <t>06.60001</t>
  </si>
  <si>
    <t>06.60002</t>
  </si>
  <si>
    <t>06.60003</t>
  </si>
  <si>
    <t>06.60006</t>
  </si>
  <si>
    <t>06.60007</t>
  </si>
  <si>
    <t>06.60008</t>
  </si>
  <si>
    <t>06.60009</t>
  </si>
  <si>
    <t>08.1001</t>
  </si>
  <si>
    <t>08.1002</t>
  </si>
  <si>
    <t>08.2202</t>
  </si>
  <si>
    <t>Pārējā citur neklasificētā kultūra</t>
  </si>
  <si>
    <t>08.29001</t>
  </si>
  <si>
    <t>08.29002</t>
  </si>
  <si>
    <t xml:space="preserve">Pirmsskolas izglītība </t>
  </si>
  <si>
    <t>09.10002</t>
  </si>
  <si>
    <t>09.10003</t>
  </si>
  <si>
    <t>09.10004</t>
  </si>
  <si>
    <t>09.10005</t>
  </si>
  <si>
    <t>09.10006</t>
  </si>
  <si>
    <t>09.10007</t>
  </si>
  <si>
    <t>09.10008</t>
  </si>
  <si>
    <t>09.10009</t>
  </si>
  <si>
    <t>09.10010</t>
  </si>
  <si>
    <t>Sākumskolas (ISCED-97 1. līmenis)</t>
  </si>
  <si>
    <t>Vispārējās izglītības mācību iestāžu izdevumi (ISCED-97 1.- 3. līmenis)</t>
  </si>
  <si>
    <t>09.21901</t>
  </si>
  <si>
    <t>09.21902</t>
  </si>
  <si>
    <t>09.21903</t>
  </si>
  <si>
    <t>09.21904</t>
  </si>
  <si>
    <t>09.21905</t>
  </si>
  <si>
    <t>09.21906</t>
  </si>
  <si>
    <t>09.21907</t>
  </si>
  <si>
    <t>09.21908</t>
  </si>
  <si>
    <t>09.5101</t>
  </si>
  <si>
    <t>09.5102</t>
  </si>
  <si>
    <t>09.5103</t>
  </si>
  <si>
    <t>09.5106</t>
  </si>
  <si>
    <t>Pārējā citur neklasificētā izglītība (izglītības projektu realizācija)</t>
  </si>
  <si>
    <t>10.70001</t>
  </si>
  <si>
    <t>10.70002</t>
  </si>
  <si>
    <t>10.70005</t>
  </si>
  <si>
    <t>10.70010</t>
  </si>
  <si>
    <t>01.830    7230</t>
  </si>
  <si>
    <t>Pašvaldību  uzturēšanas izdevumu transferti padotības iestādēm</t>
  </si>
  <si>
    <t>Darba devēja valsts sociālās apdrošināšanas obligātās iemaksas, sociālā rakstura pabalsti un kompensācijas</t>
  </si>
  <si>
    <t>Subsīdijas un dotācijas komersantiem, biedrībām un nodibinājumiem</t>
  </si>
  <si>
    <t>Pārējie maksājumi iedzīvotājiem natūrā un kompensācijas</t>
  </si>
  <si>
    <t>Pašvaldību uzturēšanas izdevumu transferti</t>
  </si>
  <si>
    <t>Ugunsdrošības, glābšanas un civilās drošības dienesti</t>
  </si>
  <si>
    <t>Taurupes pamatskola</t>
  </si>
  <si>
    <t>Mājokļu apsaimniekošana</t>
  </si>
  <si>
    <t>Siltumapgāde</t>
  </si>
  <si>
    <t>08.29011</t>
  </si>
  <si>
    <t>F20010000 AB</t>
  </si>
  <si>
    <t>08.1004</t>
  </si>
  <si>
    <t>Mācību, darba un dienesta komandējumi, dienesta, darba braucieni</t>
  </si>
  <si>
    <t>Kompensācijas, kuras izmaksā personām, pamatojoties uz Latvijas tiesu nolēmumiem</t>
  </si>
  <si>
    <t>Līdzekļu atlikums uz gada beigām (Kases apgrozāmie līdzekļi)  F22010020</t>
  </si>
  <si>
    <t>09.82032</t>
  </si>
  <si>
    <t>Informatīvi pasākumi uzņēmējiem</t>
  </si>
  <si>
    <t>10.70003</t>
  </si>
  <si>
    <t>Sociālā dienesta asistentu pakalpojumi</t>
  </si>
  <si>
    <t>Zaudējumi no valūtas kursa svārstībām</t>
  </si>
  <si>
    <t>01.83011</t>
  </si>
  <si>
    <t>03.2001</t>
  </si>
  <si>
    <t>04.11102</t>
  </si>
  <si>
    <t>04.11103</t>
  </si>
  <si>
    <t>04.4301</t>
  </si>
  <si>
    <t>05.4001</t>
  </si>
  <si>
    <t>06.2001</t>
  </si>
  <si>
    <t>07.2101</t>
  </si>
  <si>
    <t>09.8101</t>
  </si>
  <si>
    <t>08.2304</t>
  </si>
  <si>
    <t>08.300</t>
  </si>
  <si>
    <t>Apraides un izdevniecības pakalpojumi</t>
  </si>
  <si>
    <t>04.510010</t>
  </si>
  <si>
    <t>08.2101</t>
  </si>
  <si>
    <t>04.11116</t>
  </si>
  <si>
    <t>Ogres novadnieka karte</t>
  </si>
  <si>
    <t>08.2204</t>
  </si>
  <si>
    <t>08.3101</t>
  </si>
  <si>
    <t>08.3301</t>
  </si>
  <si>
    <t>04.7301</t>
  </si>
  <si>
    <t>Peldbaseins "Neptūns"</t>
  </si>
  <si>
    <t>07.4502</t>
  </si>
  <si>
    <t>06.60022</t>
  </si>
  <si>
    <t>SIA Ogres namsaimnieks finansējums domes deliģēto funkciju izpildei</t>
  </si>
  <si>
    <t>01.6001</t>
  </si>
  <si>
    <t>Projektu pieteikumu izstrāde, tehniskās dokumentācijas sagatavošana</t>
  </si>
  <si>
    <t>Ielu tīrīšanai, atkritumu savākšanai,teritoriju labiekārtošanai</t>
  </si>
  <si>
    <t>08.220</t>
  </si>
  <si>
    <t xml:space="preserve">    Kultūras centri, nami</t>
  </si>
  <si>
    <t>09.82003</t>
  </si>
  <si>
    <t>Latvijas Skolas Soma</t>
  </si>
  <si>
    <t>09.82010</t>
  </si>
  <si>
    <t>Pārējās izglītības iestāžu pedagogu profesionālās kompetences  pilnveide (Ģimnāzija)</t>
  </si>
  <si>
    <t>Kapitālo izdevumu transferti</t>
  </si>
  <si>
    <t>Ogres novada pašvaldības domes</t>
  </si>
  <si>
    <t>Finansējums bērniem, kuri apmeklē privātās pirmsskolas izglītības iestādes</t>
  </si>
  <si>
    <t>Procentu maksājumi iekšzemes kredītiestādēm</t>
  </si>
  <si>
    <t>Pārējie iepriekš neuzskaitītie budžeta izdevumi, kas veidojas pēc uzkrāšanas principa un nav uzskaitīti citos 8000 apakškodos</t>
  </si>
  <si>
    <t>09.5107</t>
  </si>
  <si>
    <t>Ogres Mūzikas un mākslas skola</t>
  </si>
  <si>
    <t>Reliģisko organizāciju un citu biedrību un nodibinājumu pakalpojumi (Sakrālā mantojuma saglabāšana)</t>
  </si>
  <si>
    <t>Finansējums bērniem, kuri apmeklē privātās izglītības iestādes</t>
  </si>
  <si>
    <t>09.21912</t>
  </si>
  <si>
    <t>Pārējie iepriekš neklasificētie vispārējie valdības dienesti (Vēlēšanas)</t>
  </si>
  <si>
    <t>Starptautiskā sadarbība</t>
  </si>
  <si>
    <t>08.4001</t>
  </si>
  <si>
    <t>03.1101</t>
  </si>
  <si>
    <t>Birzgales muzejs "Rūķi"</t>
  </si>
  <si>
    <t>08.600</t>
  </si>
  <si>
    <t>Pārējie citur neklasificētie sporta, atpūtas, kultūras un reliģijas pakalpojumi</t>
  </si>
  <si>
    <t>PII "Urdaviņa"</t>
  </si>
  <si>
    <t>PII "Čiekuriņš"</t>
  </si>
  <si>
    <t>10.900</t>
  </si>
  <si>
    <t>Pārējā citur neklasificētā sociālā aizsardzība</t>
  </si>
  <si>
    <t>Pārējo vispārējas  nozīmes dienestu darbība un pakalpojumi</t>
  </si>
  <si>
    <t>Jumpravas pamatskola</t>
  </si>
  <si>
    <t>Valdemāra pamatskola</t>
  </si>
  <si>
    <t>Lielvārdes sporta centrs</t>
  </si>
  <si>
    <t>Lielvārdes Mūzikas un mākslas skola</t>
  </si>
  <si>
    <t>F55 01 00 10</t>
  </si>
  <si>
    <t>SIA Ikšķiles māja finansējums domes deliģēto funkciju izpildei</t>
  </si>
  <si>
    <t>Tīnūžu sākumskola</t>
  </si>
  <si>
    <t>Ikšķiles vidusskola</t>
  </si>
  <si>
    <t>Ikšķiles Mūzikas un mākslas skola</t>
  </si>
  <si>
    <t>Finansējums bērniem, kuri apmeklē privātās interešu izglītības iestādes</t>
  </si>
  <si>
    <t>PSIA "Ikšķiles māja" ieguldījums pamatkapitālā</t>
  </si>
  <si>
    <t>F40 02 00 20</t>
  </si>
  <si>
    <t xml:space="preserve">Aizņēmumu atmaksa        </t>
  </si>
  <si>
    <t>01.8201</t>
  </si>
  <si>
    <t>Pašvaldību budžetu valsts iekšējā parāda darījumi</t>
  </si>
  <si>
    <t>Norēķini ar citu pašvaldību izglītības iestādēm</t>
  </si>
  <si>
    <t>04.510011</t>
  </si>
  <si>
    <t>04.510012</t>
  </si>
  <si>
    <t>Ceļu būvniecībai un remontiem Ķeguma Birzgales pagasts</t>
  </si>
  <si>
    <t>04.510013</t>
  </si>
  <si>
    <t>Ceļu būvniecībai un remontiem Lielvārde</t>
  </si>
  <si>
    <t>04.510014</t>
  </si>
  <si>
    <t xml:space="preserve">Ceļu būvniecībai un remontiem Lielvārdes Lēdmanes pagasts </t>
  </si>
  <si>
    <t>04.510015</t>
  </si>
  <si>
    <t>Ceļu būvniecībai un remontiem Lielvārdes Jumpravas pagasts</t>
  </si>
  <si>
    <t>04.510016</t>
  </si>
  <si>
    <t xml:space="preserve">Ceļu būvniecībai un remontiem Ikšķile </t>
  </si>
  <si>
    <t>04.7302</t>
  </si>
  <si>
    <t>Kapu saimniecība</t>
  </si>
  <si>
    <t>Projektu konkurss "Veidojam vidi ap mums Ogres novadā"</t>
  </si>
  <si>
    <t>Īpašumu uzmērīšanai un reģistrēšanai Zemesgrāmatā</t>
  </si>
  <si>
    <t>Pārējie izdevumi</t>
  </si>
  <si>
    <t>Nevalstisko organizāciju projektu atbalstam</t>
  </si>
  <si>
    <t>06.600121</t>
  </si>
  <si>
    <t>06.600122</t>
  </si>
  <si>
    <t>06.600123</t>
  </si>
  <si>
    <t>06.600124</t>
  </si>
  <si>
    <t>06.600125</t>
  </si>
  <si>
    <t>06.600126</t>
  </si>
  <si>
    <t>06.600127</t>
  </si>
  <si>
    <t>06.600128</t>
  </si>
  <si>
    <t>06.600129</t>
  </si>
  <si>
    <t>06.60024</t>
  </si>
  <si>
    <t>06.60025</t>
  </si>
  <si>
    <t xml:space="preserve">Veselības veicināšanas pasākumiem </t>
  </si>
  <si>
    <t>08.210</t>
  </si>
  <si>
    <t>Ogres centrālā bibliotēka</t>
  </si>
  <si>
    <t>08.2103</t>
  </si>
  <si>
    <t>Ikšķiles pilsētas bibliotēka</t>
  </si>
  <si>
    <t>08.2104</t>
  </si>
  <si>
    <t>08.2105</t>
  </si>
  <si>
    <t>Ķeguma pilsētas bibliotēka (tai skaitā Ķegums, Tome, Rembate)</t>
  </si>
  <si>
    <t>08.2106</t>
  </si>
  <si>
    <t>08.2107</t>
  </si>
  <si>
    <t>08.2108</t>
  </si>
  <si>
    <t>08.2109</t>
  </si>
  <si>
    <t>08.2205</t>
  </si>
  <si>
    <t>08.2206</t>
  </si>
  <si>
    <t>08.2207</t>
  </si>
  <si>
    <t>08.2302</t>
  </si>
  <si>
    <t>08.2305</t>
  </si>
  <si>
    <t>08.2307</t>
  </si>
  <si>
    <t>08.2308</t>
  </si>
  <si>
    <t>08.2309</t>
  </si>
  <si>
    <t>08.2310</t>
  </si>
  <si>
    <t>Pilsētas dekorēšana svētkiem</t>
  </si>
  <si>
    <t>Projektu konkurss RADI Ogres novadam (Kultūras, sporta un izglītības pasākumi, mācības, kursi)</t>
  </si>
  <si>
    <t>09.10012</t>
  </si>
  <si>
    <t>09.10013</t>
  </si>
  <si>
    <t>09.10014</t>
  </si>
  <si>
    <t xml:space="preserve">PII "Gaismiņa"   </t>
  </si>
  <si>
    <t>09.10015</t>
  </si>
  <si>
    <t xml:space="preserve">PII "Birztaliņa"   </t>
  </si>
  <si>
    <t>09.10016</t>
  </si>
  <si>
    <t xml:space="preserve"> VPII "Pūt vējiņi"   </t>
  </si>
  <si>
    <t>09.21102</t>
  </si>
  <si>
    <t xml:space="preserve">Ogresgala pamatskola </t>
  </si>
  <si>
    <t>09.21913</t>
  </si>
  <si>
    <t>09.21914</t>
  </si>
  <si>
    <t xml:space="preserve">Birzgales pamatskola   </t>
  </si>
  <si>
    <t>09.21915</t>
  </si>
  <si>
    <t xml:space="preserve">Lielvārdes pamatskola </t>
  </si>
  <si>
    <t>09.21916</t>
  </si>
  <si>
    <t xml:space="preserve">Lēdmanes pamatskola </t>
  </si>
  <si>
    <t>09.21917</t>
  </si>
  <si>
    <t>09.21918</t>
  </si>
  <si>
    <t>09.21919</t>
  </si>
  <si>
    <t>09.21920</t>
  </si>
  <si>
    <t>09.5108</t>
  </si>
  <si>
    <t>09.5109</t>
  </si>
  <si>
    <t>09.5110</t>
  </si>
  <si>
    <t>09.610</t>
  </si>
  <si>
    <t>Izglītojamo pārvadājumu pakalpojumi</t>
  </si>
  <si>
    <t>09.6101</t>
  </si>
  <si>
    <t>09.620</t>
  </si>
  <si>
    <t>Izglītojamo ēdināšanas pakalpojumi</t>
  </si>
  <si>
    <t>09.6201</t>
  </si>
  <si>
    <t>Ēdināšanas izmaksu kompensācijas PII</t>
  </si>
  <si>
    <t>09.6202</t>
  </si>
  <si>
    <t>Ēdināšana skolās, tai skatā (1.-4.kl.)</t>
  </si>
  <si>
    <t>09.630</t>
  </si>
  <si>
    <t>Izglītojamo izmitināšanas pakalpojumi</t>
  </si>
  <si>
    <t>Sadarbībā ar Rīgas tehnisko universitāti, BJU interešu izglītības nodarbības un ekskursijas</t>
  </si>
  <si>
    <t>09.82024</t>
  </si>
  <si>
    <t>Ogres novada pašvaldības jaunatnes iniciatīvu projektu konkurss "Jauniešu iespējas"</t>
  </si>
  <si>
    <t>Birzgales Mūzikas skola</t>
  </si>
  <si>
    <t>Lēdmanes pagasta pārvalde</t>
  </si>
  <si>
    <t>Jumpravas pagasta pārvalde</t>
  </si>
  <si>
    <t>Birzgales pagasta pārvalde</t>
  </si>
  <si>
    <t>Tomes pagasta pārvalde</t>
  </si>
  <si>
    <t>Rembates pagasta pārvalde</t>
  </si>
  <si>
    <t>10.920</t>
  </si>
  <si>
    <t>06.60017</t>
  </si>
  <si>
    <t>08.23061</t>
  </si>
  <si>
    <t xml:space="preserve">Edgara Kauliņa Lielvārdes vidusskola </t>
  </si>
  <si>
    <t xml:space="preserve"> Sporta pasākumu rīkošanai </t>
  </si>
  <si>
    <t xml:space="preserve">Komandas vai individuālu sacensību dalībnieku atbalstam </t>
  </si>
  <si>
    <t>09.82073</t>
  </si>
  <si>
    <t>09.82074</t>
  </si>
  <si>
    <t>09.21921</t>
  </si>
  <si>
    <t>Ogres centra pamatskola</t>
  </si>
  <si>
    <t>Pašvaldības sociālā stipendija vispārējās vidējās izglītības iestāžu izglītojamajiem</t>
  </si>
  <si>
    <t>Pašvaldības stipendija studējošiem pedagogiem</t>
  </si>
  <si>
    <t>08.23062</t>
  </si>
  <si>
    <t>Pārējie sabiedriskās kārtības un drošības pakalpojumi (Video novērošanai)</t>
  </si>
  <si>
    <t>Ukraiņu bērnu ēdināšana</t>
  </si>
  <si>
    <t>06.4002</t>
  </si>
  <si>
    <t>03.6001</t>
  </si>
  <si>
    <t>06.4001</t>
  </si>
  <si>
    <t xml:space="preserve">Ceļu būvniecībai un remontiem Ķegums </t>
  </si>
  <si>
    <t>04.510017</t>
  </si>
  <si>
    <t>Ceļu būvniecībai un remontiem Ķegums (Rembate)</t>
  </si>
  <si>
    <t>04.510018</t>
  </si>
  <si>
    <t>Ceļu būvniecībai un remontiem Ķegums (Tome)</t>
  </si>
  <si>
    <t>08.1003</t>
  </si>
  <si>
    <t>Klinšu kāpšanas sienas ekspluatācijai</t>
  </si>
  <si>
    <t>09.82081</t>
  </si>
  <si>
    <t>Erasmus + programmas projekts Nr.2023-1-LV01-KA121-SCH-000123334 Ģimnāzijas</t>
  </si>
  <si>
    <t>09.82085</t>
  </si>
  <si>
    <t>09.82086</t>
  </si>
  <si>
    <t>09.82088</t>
  </si>
  <si>
    <t>04.510019</t>
  </si>
  <si>
    <t>Ceļu būvniecībai un remontiem Suntaži</t>
  </si>
  <si>
    <t>04.510020</t>
  </si>
  <si>
    <t>Ceļu būvniecībai un remontiem Laubere</t>
  </si>
  <si>
    <t>04.510021</t>
  </si>
  <si>
    <t>Ceļu būvniecībai un remontiem Ķeipene</t>
  </si>
  <si>
    <t>04.510022</t>
  </si>
  <si>
    <t>Ceļu būvniecībai un remontiem Madliena</t>
  </si>
  <si>
    <t>04.510023</t>
  </si>
  <si>
    <t>Ceļu būvniecībai un remontiem Krape</t>
  </si>
  <si>
    <t>04.510024</t>
  </si>
  <si>
    <t>Ceļu būvniecībai un remontiem Mazozoli</t>
  </si>
  <si>
    <t>04.510025</t>
  </si>
  <si>
    <t>Ceļu būvniecībai un remontiem Meņģele</t>
  </si>
  <si>
    <t>04.510026</t>
  </si>
  <si>
    <t>Ceļu būvniecībai un remontiem Taurupe</t>
  </si>
  <si>
    <t>05.20021</t>
  </si>
  <si>
    <t>05.20022</t>
  </si>
  <si>
    <t>05.20023</t>
  </si>
  <si>
    <t>05.20024</t>
  </si>
  <si>
    <t>05.20025</t>
  </si>
  <si>
    <t>05.20026</t>
  </si>
  <si>
    <t>05.20027</t>
  </si>
  <si>
    <t>06.30011</t>
  </si>
  <si>
    <t>06.30012</t>
  </si>
  <si>
    <t>06.30013</t>
  </si>
  <si>
    <t>06.30014</t>
  </si>
  <si>
    <t>06.30015</t>
  </si>
  <si>
    <t>06.30016</t>
  </si>
  <si>
    <t>06.30017</t>
  </si>
  <si>
    <t>06.600130</t>
  </si>
  <si>
    <t>06.600131</t>
  </si>
  <si>
    <t>06.600132</t>
  </si>
  <si>
    <t>06.600133</t>
  </si>
  <si>
    <t>06.600134</t>
  </si>
  <si>
    <t>06.600135</t>
  </si>
  <si>
    <t>06.600136</t>
  </si>
  <si>
    <t>06.600137</t>
  </si>
  <si>
    <t>07.2102</t>
  </si>
  <si>
    <t>08.2110</t>
  </si>
  <si>
    <t>08.2111</t>
  </si>
  <si>
    <t>08.2112</t>
  </si>
  <si>
    <t>08.2113</t>
  </si>
  <si>
    <t>08.2114</t>
  </si>
  <si>
    <t>08.2115</t>
  </si>
  <si>
    <t>08.2116</t>
  </si>
  <si>
    <t>08.2117</t>
  </si>
  <si>
    <t>08.2311</t>
  </si>
  <si>
    <t>08.2312</t>
  </si>
  <si>
    <t>08.2313</t>
  </si>
  <si>
    <t>08.2314</t>
  </si>
  <si>
    <t>08.2315</t>
  </si>
  <si>
    <t>08.2316</t>
  </si>
  <si>
    <t>08.2317</t>
  </si>
  <si>
    <t>08.2318</t>
  </si>
  <si>
    <t>09.82087</t>
  </si>
  <si>
    <t>Erasmus + programmas projekts Nr. 2023-1-LV01-KA121-SCH-000123099, Mācību mobilitātes skolu sektorā Madliena</t>
  </si>
  <si>
    <t>Ķeguma muzejs</t>
  </si>
  <si>
    <t>Ģimenes ārstu prakse Lielvārdē</t>
  </si>
  <si>
    <t>01.330</t>
  </si>
  <si>
    <t>09.5111</t>
  </si>
  <si>
    <t>Vispārējā tipa pansionāts "Madliena" budžets</t>
  </si>
  <si>
    <t>06.60047</t>
  </si>
  <si>
    <t>Rotaļu laukumu izveidošanai lauku teritorijās</t>
  </si>
  <si>
    <t>08.2319</t>
  </si>
  <si>
    <t>08.240</t>
  </si>
  <si>
    <t>Teātri, izrādes un koncertdarbība</t>
  </si>
  <si>
    <t>08.2401</t>
  </si>
  <si>
    <t>Ogres teātris</t>
  </si>
  <si>
    <t>09.82090</t>
  </si>
  <si>
    <t>Erasmus projekts Ilgtspējīga vides izglītība, integrējot filozofijas bērniem pieeju STEAM mācību priekšmetos, Nr.2023-1-PL01-KA220-SCH-000157049 (OCP)</t>
  </si>
  <si>
    <t>09.82091</t>
  </si>
  <si>
    <t>Projektu konkurss ''Papildus aktivitātes Ogres novada pašvaldības iestādēs''.</t>
  </si>
  <si>
    <t>10.70021</t>
  </si>
  <si>
    <t>ERAF "Atbalsta pasākumi cilvēkiem ar invaliditāti mājokļu vides pieejamības nodrošināšanai Ogres novadā"</t>
  </si>
  <si>
    <t>10.5001</t>
  </si>
  <si>
    <t>09.62045</t>
  </si>
  <si>
    <t>08.23063</t>
  </si>
  <si>
    <t>09.82015</t>
  </si>
  <si>
    <t>09.82069</t>
  </si>
  <si>
    <t>09.82070</t>
  </si>
  <si>
    <t>10.4001</t>
  </si>
  <si>
    <t>Nordplus projekts NPJR-2024/10161-Thinking about our common future</t>
  </si>
  <si>
    <t>Erasmus projekta Nr.2024-1-LV01-KA121-SCH-000209588. (Madliena)</t>
  </si>
  <si>
    <t>ES fonda Plus projekts PROTI un DARI 2.0, Nr.4.2.3.4/1/24/I/001</t>
  </si>
  <si>
    <t>09.82020</t>
  </si>
  <si>
    <t>Jaunogres pamatskola</t>
  </si>
  <si>
    <t>Suntažu pamatskola</t>
  </si>
  <si>
    <t>Ogres Kalna pamatskola</t>
  </si>
  <si>
    <t>Tūrisma informācijas centrs</t>
  </si>
  <si>
    <t>09.82014</t>
  </si>
  <si>
    <t>Erasmus programmas projekts Nr.2024-1-LV01-KA122-SCH-000227350, Vai zini, kā nekļūt par kiberhuligānisma upuri, Ikšķiles vidussk.</t>
  </si>
  <si>
    <t>09.82076</t>
  </si>
  <si>
    <t>Erasmus programmas projekts Nr.2024-1-LV01-KA121-SCH-000230475, (Kalna psk.)</t>
  </si>
  <si>
    <t>09.82092</t>
  </si>
  <si>
    <t>Erasmus plus projekts COMMON (CREATION OF aMaster Musical OF nature), Nr.2024-1-FI01_KA220-SCH-000244269. Lielvārdes MMS</t>
  </si>
  <si>
    <t>04.51002</t>
  </si>
  <si>
    <t>04.51005</t>
  </si>
  <si>
    <t>Mikromobilitātes infrastruktūras uzlabošana Ogres pilsētā</t>
  </si>
  <si>
    <t>05.20028</t>
  </si>
  <si>
    <t>05.20029</t>
  </si>
  <si>
    <t>05.2004</t>
  </si>
  <si>
    <t>05.30011</t>
  </si>
  <si>
    <t>06.30018</t>
  </si>
  <si>
    <t>06.30019</t>
  </si>
  <si>
    <t>06.60014</t>
  </si>
  <si>
    <t>Līdzdalības budžets</t>
  </si>
  <si>
    <t>07.4503</t>
  </si>
  <si>
    <t xml:space="preserve">  "Ogres novada kultūras centrs"</t>
  </si>
  <si>
    <t>Ogres novada kultūras un tūrisma pārvalde</t>
  </si>
  <si>
    <t>Elektroniskie sabiedrības saziņas līdzekļi (televīzija un radio)</t>
  </si>
  <si>
    <t>Ogres Valsts ģimnāzija</t>
  </si>
  <si>
    <t>09.82007</t>
  </si>
  <si>
    <t>Erasmus programmas projekts Nr.2020-1-LV01-KA229-077484-1, Get into the Green Scene Jumpravas pamatsk.</t>
  </si>
  <si>
    <t>09.82021</t>
  </si>
  <si>
    <t>09.82023</t>
  </si>
  <si>
    <t>ERAF "Jaunas vispārējās pirmsskolas izglītības iestādes būvniecība Ogres pilsētā"</t>
  </si>
  <si>
    <t>09.82056</t>
  </si>
  <si>
    <t>09.82078</t>
  </si>
  <si>
    <t>09.82093</t>
  </si>
  <si>
    <t>Ogres novada izglītības iestažu infrastruktūras pilnveide un aprīkošana, Nr. 3.1.1.5.i.0/1/24/I/CFLA/003</t>
  </si>
  <si>
    <t>Finansējums mājokļa ārējās vides pielāgošanai personām ar kustību traucējumiem</t>
  </si>
  <si>
    <t>Tūrisms</t>
  </si>
  <si>
    <t>04.730</t>
  </si>
  <si>
    <t>Pašvaldību transferti citām pašvaldībām</t>
  </si>
  <si>
    <t>Pašvaldību uzturēšanas izdevumu transferti (izņemot atmaksas) uz valsts budžetu</t>
  </si>
  <si>
    <t>Pašvaldību atmaksa valsts budžetam par iepriekš. gados saņemto, bet neizlietoto valsts budžeta transfertu uztur. izd.</t>
  </si>
  <si>
    <t>Pašvaldību atmaksa valsts budžetam par iepriekš. gados saņemtajiem valsts budžeta transfertiem uztur.izd. ES politiku instrumentu un pārējās ārvalstu finanšu palīdzības līdzfin. projektos (pasākumos)</t>
  </si>
  <si>
    <t>07.450</t>
  </si>
  <si>
    <t>Veselības veicināšana</t>
  </si>
  <si>
    <t>Erasmus + programmas projekts Nr.2023-1-LV01-KA121-SCH-000146268 , Iekļaušana un iekļaušanās, OCP</t>
  </si>
  <si>
    <t>06.400</t>
  </si>
  <si>
    <t>Ogres novada Pašvaldības policija</t>
  </si>
  <si>
    <t>Ogres pilsētā un Ogresgala pagasta pārvalde</t>
  </si>
  <si>
    <t>Lielvārdes pilsētas un pagasta apvienības  pārvalde</t>
  </si>
  <si>
    <t>Ķeguma pilsētas pārvalde</t>
  </si>
  <si>
    <t>Ikšķiles pilsētas un Tīnūžu pagasta apvienības pārvalde</t>
  </si>
  <si>
    <t>Tīnūžu pagasta bibliotēka</t>
  </si>
  <si>
    <t>Birzgales pagasta bibliotēka</t>
  </si>
  <si>
    <t>Jumpravas pagasta bibliotēka</t>
  </si>
  <si>
    <t>Lēdmanes pagasta bibliotēka</t>
  </si>
  <si>
    <t>Lielvārdes pilsētas un Lāčplēša bibliotēka</t>
  </si>
  <si>
    <t>Suntažu pagasta bibliotēka</t>
  </si>
  <si>
    <t>Lauberes pagasta bibliotēka</t>
  </si>
  <si>
    <t>Ķeipenes pagasta bibiotēka</t>
  </si>
  <si>
    <t>Madlienas pagasta bibliotēka</t>
  </si>
  <si>
    <t>Krapes pagasta bibliotēka</t>
  </si>
  <si>
    <t>Mazozolu pagasta bibliotēka</t>
  </si>
  <si>
    <t>Meņģeles pagasta bibliotēka</t>
  </si>
  <si>
    <t>Taurupes pagasta bibliotēka</t>
  </si>
  <si>
    <t>Ogres Vēstures un mākslas muzejs</t>
  </si>
  <si>
    <t>Sudrabu Edžus memoriālā istaba Meņģelē</t>
  </si>
  <si>
    <t>Andreja Pumpura Lielvārdes muzejs</t>
  </si>
  <si>
    <t>Ikšķiles pilsētas Tautas nams</t>
  </si>
  <si>
    <t>Tīnūžu pagasta Tautas nams</t>
  </si>
  <si>
    <t>Lielvārdes pilsētas Kultūras nams</t>
  </si>
  <si>
    <t>Jumpravas pagasta Kultūras nams</t>
  </si>
  <si>
    <t>Lēdmanes pagasta Tautas nams</t>
  </si>
  <si>
    <t>Ķeguma pilsētas Tautas nams</t>
  </si>
  <si>
    <t>Birzgales pagasta Tautas nams</t>
  </si>
  <si>
    <t>Rembates pagasta Tautas nams</t>
  </si>
  <si>
    <t>Tomes pagasta Tautas nams</t>
  </si>
  <si>
    <t>Suntažu pagasta Kultūras nams</t>
  </si>
  <si>
    <t>Lauberes pagasta Kultūras nams</t>
  </si>
  <si>
    <t>Ķeipenes pagasta Tautas nams</t>
  </si>
  <si>
    <t>Madlienas pagasta Kultūras nams</t>
  </si>
  <si>
    <t>Krapes pagasta Tautas nams</t>
  </si>
  <si>
    <t>Mazozolu pagasta Kultūras nams</t>
  </si>
  <si>
    <t>Meņģeles pagasta Tautas nams</t>
  </si>
  <si>
    <t>Taurupes pagasta Tautas nams</t>
  </si>
  <si>
    <t>Ogres novada sporta centrs</t>
  </si>
  <si>
    <t>Ogres Basketbola skola</t>
  </si>
  <si>
    <t>K.Kažociņa Madlienas Mūzikas un mākslas skola</t>
  </si>
  <si>
    <t>Pārējā izglītības vadība (Ogres novada Izglītības pārvalde)</t>
  </si>
  <si>
    <t>Atbalsts ģimenēm ar bērniem (Ogres novada bāriņtiesa)</t>
  </si>
  <si>
    <t xml:space="preserve">Ogres novada sociālais dienests </t>
  </si>
  <si>
    <t xml:space="preserve">Ogres novada pašvaldības 2026.g. budžets </t>
  </si>
  <si>
    <t>Pašvald. aģentūras "Ogres komunikācijas" 2026.g. budžets</t>
  </si>
  <si>
    <t xml:space="preserve">Ogres novada Kultūras centrs 2026.g. budžets   </t>
  </si>
  <si>
    <t>Pašvald. aģentūras "Rosme" 2026.g. budžets</t>
  </si>
  <si>
    <t>Ogres novada konsolidētais pašvaldības 2026.g. budžets</t>
  </si>
  <si>
    <t>03.2002</t>
  </si>
  <si>
    <t>ES fondu projekts "Objektu (patvertņu) pielāgošana un aprīkošana civilās aizsardzības mērķiem Ogres novadā" Nr.5.1.1.9./1/25/I/023</t>
  </si>
  <si>
    <t>04.11106</t>
  </si>
  <si>
    <t>ES atveseļošanās fonda projekts Nr.2.1.2.1.i.0/2/24/I/CFLA/003, "Atvieglojumu pārvaldības pakalpojuma pilnveide un ieviešanas atbalsts"</t>
  </si>
  <si>
    <t>04.51061</t>
  </si>
  <si>
    <t>04.51060</t>
  </si>
  <si>
    <t>04.51059</t>
  </si>
  <si>
    <t>04.51057</t>
  </si>
  <si>
    <t>Būvprojekta izstrāde auto stāvlaukumam Komunālajā ielā 6, Ķegumā,autoruzraudzība, būvniecība</t>
  </si>
  <si>
    <t>04.51058</t>
  </si>
  <si>
    <t>Mednieku ielas posma pārbūve no Mežezera ielas līdz Ogres meža tehnikumam,  būvuzraudzība, projektēšana</t>
  </si>
  <si>
    <t>04.51056</t>
  </si>
  <si>
    <t>Lāčplēša iela Ķegumā, būvniecība, projektēšana</t>
  </si>
  <si>
    <t>04.51047</t>
  </si>
  <si>
    <t>Rembates un Meža ielas Lielvārdē garantijas saistības</t>
  </si>
  <si>
    <t>04.51062</t>
  </si>
  <si>
    <t>04.51063</t>
  </si>
  <si>
    <t>Mobilitātes un sabiedriskā transporta savienojumu punkta attīstība Pārbrauktuves ielā 2, Ikšķilē, Ogres novadā</t>
  </si>
  <si>
    <t>04.51064</t>
  </si>
  <si>
    <t>Mobilitātes un sabiedriskā transporta savienojumu punkta attīstība Ciemupē, Ogres novadā</t>
  </si>
  <si>
    <t>04.51065</t>
  </si>
  <si>
    <t>Mobilitātes un sabiedriskā transporta savienojumu punkta attīstība Stacijas laukumā, Ķegumā, Ogres novadā</t>
  </si>
  <si>
    <t>Lietus ūdens kanalizācija  (Dabas res.nod.)</t>
  </si>
  <si>
    <t>06.60015</t>
  </si>
  <si>
    <t>Ķeguma dienas centrs (pārcelts no vad.f. 08.29027)</t>
  </si>
  <si>
    <t>06.60016</t>
  </si>
  <si>
    <t>Tomes dienas centrs (pārcelts no vad.f. 08.29028)</t>
  </si>
  <si>
    <t>06.60049</t>
  </si>
  <si>
    <t>Prioritārais investīciju projekts "Lielvārdes parka un apkaimes teritorijas attīstība"</t>
  </si>
  <si>
    <t>06.60048</t>
  </si>
  <si>
    <t>ES fondu projekts "Lielvārdes pilsdrupu konservācija un jaunu pakalpojumu attīstība" (Lielvārdes parka un apkaimes labiekārtošana)</t>
  </si>
  <si>
    <t>07.4504</t>
  </si>
  <si>
    <t>08.2209</t>
  </si>
  <si>
    <t>Kultūras mantojuma centrs "Tīnūžu muiža" (pārcelts no 04.7303)</t>
  </si>
  <si>
    <t>08.2208</t>
  </si>
  <si>
    <t>Ķeipenes kinostacija (pārcelts no 08.2303)</t>
  </si>
  <si>
    <t>Kultūras aktivitātes/pasākumi Kultūras un tūrisma pārvalde</t>
  </si>
  <si>
    <t>08.29006</t>
  </si>
  <si>
    <t>Kultūras aktivitātes/pasākumi Komunikācijas nod.</t>
  </si>
  <si>
    <t>08.29035</t>
  </si>
  <si>
    <t>A.Pumpura Lielvārdes muzejam izstādes digitalizācija</t>
  </si>
  <si>
    <t>08.29034</t>
  </si>
  <si>
    <t>Ķeguma pamatskola</t>
  </si>
  <si>
    <t>09.5112</t>
  </si>
  <si>
    <t>Ogres novada Interešu izglītības iestāde</t>
  </si>
  <si>
    <t>09.82005</t>
  </si>
  <si>
    <t>Erasmus programmas projekts 2025-1-LV01-KA121-SCH-000338632 Ogres kalna pamatskola</t>
  </si>
  <si>
    <t>09.82012</t>
  </si>
  <si>
    <t>Nordplus Junior projekts Nr.NPJR-2025/10136  "Teaching scientific inquiry in natural sciences" Jumpravas pamatskola</t>
  </si>
  <si>
    <t>09.82013</t>
  </si>
  <si>
    <t>Erasmus + programmas projekts Nr.2025-1-LV01-KA121-SCH-000326941 Ogres valsts ģimnāzija</t>
  </si>
  <si>
    <t>09.82017</t>
  </si>
  <si>
    <t>Erasmus + programmas projekts Nr.2025-1-LV01-KA122-SCH-000326778, Par zaļāku pasauli mūsu bērniem. (Ķeipenes pamatsk.)</t>
  </si>
  <si>
    <t>09.82018</t>
  </si>
  <si>
    <t>Nordplus Junior projekts Nr.NPJR-2025-Autumn/10053, Bērnudārzu un bibloitēkas sadarbības jomā (Jumpravas pamatskola)</t>
  </si>
  <si>
    <t>ES fonds Plus projekts Nr.4.2.2.3/1/24/I/001 "Pedagogu profesionālā atbalsta sistēmas izveide" (ONIP)</t>
  </si>
  <si>
    <t>09.82025</t>
  </si>
  <si>
    <t>Erasmus + programmas projekts "Jumpravas jauniešu līdzdalības kompass" 2025-1-LV02-KA154-YOU-000303442  ONIP</t>
  </si>
  <si>
    <t>09.82028</t>
  </si>
  <si>
    <t>Projekts "Ogres novada skolu pašpārvalžu stiprināšana" Nr.VP2025/3-12 (ONIP)</t>
  </si>
  <si>
    <t>09.82098</t>
  </si>
  <si>
    <t>Izglītības iestādes investīciju projekts "Madlienas vidusskolas būvprojekta izstrāde un autoruzraudzība"</t>
  </si>
  <si>
    <t>09.82099</t>
  </si>
  <si>
    <t>Izglītības iestādes investīciju projekts "Ikšķiles vidusskolas jauna korpusa būvprojekta izstrāde un autoruzraudzība"</t>
  </si>
  <si>
    <t>09.82050</t>
  </si>
  <si>
    <t>09.82054</t>
  </si>
  <si>
    <t>09.82057</t>
  </si>
  <si>
    <t>09.82096</t>
  </si>
  <si>
    <t>Erasmus projekts Nr.2025-1-LV02-KA152-YOU-000302641, Harmny of the Body (ONIP)</t>
  </si>
  <si>
    <t>09.82097</t>
  </si>
  <si>
    <t>ES fonda projekts  Nr. 4.2.2.1/1/25/I/001, "STEM un pilsoniskās līdzdalības norises plašākai izglītības pieredzei un karjeras izvēlei"</t>
  </si>
  <si>
    <t>Sociālā palīdzība un sociālie pakalpojumi iedzīvotājiem</t>
  </si>
  <si>
    <t>Vispārējā tipa pansionāts "Madliena"</t>
  </si>
  <si>
    <t>10.70009</t>
  </si>
  <si>
    <t>Lielvārdes bibliotēkas un jauniešu centra vienotas ēkas Lielvārdē, Ogres novadā projektēšana un būvniecība</t>
  </si>
  <si>
    <t>ERAF projekts Izglītības iestāžu nodrošinājums plnveidotā visp. izgl. satura kvalit. ieviešanai pamata un vidējās izgl. pakapē Nr.4.2.1.5/2/26/I/020</t>
  </si>
  <si>
    <t>09.82026</t>
  </si>
  <si>
    <t>09.82001</t>
  </si>
  <si>
    <t>Nordplus projekts Life Near Water plants-animals-people, Nr.NPJR-2026/10233 (Jumpravas pamatskola)</t>
  </si>
  <si>
    <t>09.82002</t>
  </si>
  <si>
    <t>Nordplus projekts Kindergarten and Library Cooperation Nr.NPJR-2026/10147 (Jumpravas pamatskola)</t>
  </si>
  <si>
    <t>09.82027</t>
  </si>
  <si>
    <t>Erasmus programmas projekts Nr.2026-1-LV01-KA121-SCH-000435317, Ogres valsts Ģimnāzija</t>
  </si>
  <si>
    <t>Erasmus programmas projekts Nr.2026-1-LV01-KA121-SCH-000447174, Kalna pamatskola</t>
  </si>
  <si>
    <t>09.82019</t>
  </si>
  <si>
    <t xml:space="preserve">Ceļu uzturēšanai, būvniecībai un remontiem </t>
  </si>
  <si>
    <t>Mūrkroga ielas Ikšķilē, Ogres novadā ielas virskārtas atjaunošana ar asfaltbetona segumu, būvuzraudzība</t>
  </si>
  <si>
    <t>Lēdmanes ielas pārbūve, paredzot brauktuvi ar asfaltbetona segumu Ogrē, Ogres novadā un būvuzraudzība</t>
  </si>
  <si>
    <t>Ēku siltumapgādes vieda vadība, projekta Nr.5.1.1.4/1/24/I/002</t>
  </si>
  <si>
    <t>Mazozolu pagasta veselības aprūpes punkts</t>
  </si>
  <si>
    <t>Erasmus programmas projekts Nr. 2025-1-LT01-KA210-SCH-000352453 Ikšķiles Mūzikas skola</t>
  </si>
  <si>
    <t>Erasmus programmas projekts Nr.2025-1-LV01-KA121-SCH-000342761 Mācību mobilitāte skolu sektorā Madlienas vsk.</t>
  </si>
  <si>
    <t>09.82075</t>
  </si>
  <si>
    <t>Erasmus programmas projekts Nr.2026-1-LV01-KA121-SCH-000422120 (Ķeipenes pamtsk.)</t>
  </si>
  <si>
    <t>06.30020</t>
  </si>
  <si>
    <t>Drošības nauda ūdensapgādes traucējumu izdevumu segšanai</t>
  </si>
  <si>
    <t>30.07.2026. saistošajiem noteikumiem Nr. 12/2026</t>
  </si>
  <si>
    <t>Pielikums Nr. 2</t>
  </si>
  <si>
    <t>Ogres novada pašvaldības 2026. gada pamatbudžeta  izdevumi atbilstoši funkcionālajām kategorijām</t>
  </si>
  <si>
    <t>Jura Alunāna un Akmeņu ielu pārbūve posmā no Daugavpils ielas (A6) līdz Vidzemes ielai, Ogrē uzņēmējdarbības veicināšanai, Nr.5.1.1.1/2/24/A/016</t>
  </si>
  <si>
    <t>Autoceļa Nr.8013 Zeltiņi–Priednieki Ogresgalā, Ogres novadā seguma atjaunošana un projektēšana</t>
  </si>
  <si>
    <t>"Mobilitātes un sabiedriskā transporta savienojumu punktu attīstība Upes prospektā 15A, Ogrē, Ogres novadā būvprojekts</t>
  </si>
  <si>
    <t>Pašvald. aģentūra "Tūrisma, sporta un atpūtas kompleksa "ZILIE KALNI" attīstības aģentūra" 2026.g.budžets</t>
  </si>
  <si>
    <t>Veselības veicināšanas un rehabilitācijas centra izveide sanatorijā "Ogre""</t>
  </si>
  <si>
    <t>Eiropas savienības fondu 4.2.3.1. pasākuma "Integrēta "skola-kopiena" sadarbības programma atstumtības riska mazināšanai izglītības iestādēs"</t>
  </si>
  <si>
    <t>"Tūrisma, sporta un atpūtas komplekss "ZILIE KALNI"</t>
  </si>
  <si>
    <t>ES fonda projekts Nr.2.1.3.1/1/24/A/014 Ilgtspējīgi risinājumi (lietus ūdens novade no futbola laukuma) Meža pr.14, Ogrē</t>
  </si>
  <si>
    <t>Notekūdeņu (savākšana un attīrīšana) – Laubere</t>
  </si>
  <si>
    <t>Notekūdeņu (savākšana un attīrīšana) – Ķeipene</t>
  </si>
  <si>
    <t>Notekūdeņu (savākšana un attīrīšana) – Madliena</t>
  </si>
  <si>
    <t>Notekūdeņu (savākšana un attīrīšana) – Krape</t>
  </si>
  <si>
    <t>Notekūdeņu (savākšana un attīrīšana) – Mazozoli</t>
  </si>
  <si>
    <t>Notekūdeņu (savākšana un attīrīšana) – Meņģele</t>
  </si>
  <si>
    <t>Notekūdeņu (savākšana un attīrīšana) – Taurupe</t>
  </si>
  <si>
    <t>Notekūdeņu (savākšana un attīrīšana) – PA Ogres komunikācijas</t>
  </si>
  <si>
    <t>Notekūdeņu (savākšana un attīrīšana) – Rosme</t>
  </si>
  <si>
    <t>Vispārējie ūdens apgādes izdevumi – Laubere</t>
  </si>
  <si>
    <t>Vispārējie ūdens apgādes izdevumi – Ķeipene</t>
  </si>
  <si>
    <t>Vispārējie ūdens apgādes izdevumi – Madliena</t>
  </si>
  <si>
    <t>Vispārējie ūdens apgādes izdevumi – Krape</t>
  </si>
  <si>
    <t>Vispārējie ūdens apgādes izdevumi – Mazozoli</t>
  </si>
  <si>
    <t>Vispārējie ūdens apgādes izdevumi – Meņģele</t>
  </si>
  <si>
    <t>Vispārējie ūdens apgādes izdevumi – Taurupe</t>
  </si>
  <si>
    <t>Vispārējie ūdens apgādes izdevumi – Ogres komunikācijas</t>
  </si>
  <si>
    <t>Vispārējie ūdens apgādes izdevumi – ROSME</t>
  </si>
  <si>
    <t>Ielu apgaismošana – Ikšķile</t>
  </si>
  <si>
    <t>SIA Lielvārdes Remte – finansējums domes deliģētās funkcijas izpildei</t>
  </si>
  <si>
    <t>SIA Ķeguma Stars – finansējums domes deliģētās funkcijas izpildei</t>
  </si>
  <si>
    <t>ES projekts  "Pasākumi veselības veicināšanai un slimību profilaksei Ogres novada iedzīvotājiem"  Nr.4.1.2.2/1/24/I/022</t>
  </si>
  <si>
    <t>Izdevniecība (Novada informatīvie izdevumi)</t>
  </si>
  <si>
    <t>Speciālās izglītības iestādes attīstība Ogres novadā efektīvas, kvalitatīvas un mūsdienīgas izglītības īstenošanai, Nr.4.2.1.3/1/24/I/011</t>
  </si>
  <si>
    <t>Eiropas Savienības Atveseļošanas fonda projekta Nr.2.3.2.1.i.0/1/23/I/CFLA/002 "Digitālā darba ar jaunatni sistēmas attīstība pašvaldībās"</t>
  </si>
  <si>
    <t>Erasmus + programmas projekts 2025-1-LV01-KA122-SCH-000343554 – Piedzīvot, izprast, pārveidot OCP</t>
  </si>
  <si>
    <t>Erasmus programmas projekts Nr.2023-1-LV01-KA121-SCH 000147014 Personu mobilitāte mācību nolūkos. (Kalna psk.)</t>
  </si>
  <si>
    <t>Eiropas Savienības Atveseļošanas fonda projekta Nr.2.3.2.1.i.0/1/23/I/CFLA/001 "Sabiedrības digitālo prasmju attīstība"</t>
  </si>
  <si>
    <t>Pārējie citur neklasificētie sociālās aizsardzības pasākumi (Ukrainas civiliedzīvotāju atbalstam)</t>
  </si>
  <si>
    <t>Ogres novada pašvaldības 2026. gada pamatbudžeta  izdevumi atbilstoši ekonomiskajām kategorijām</t>
  </si>
  <si>
    <r>
      <t xml:space="preserve">Budžeta nodaļas vadītāja </t>
    </r>
    <r>
      <rPr>
        <i/>
        <sz val="11"/>
        <rFont val="Times New Roman"/>
        <family val="1"/>
        <charset val="186"/>
      </rPr>
      <t>D. Kļaviņa</t>
    </r>
  </si>
  <si>
    <r>
      <t xml:space="preserve">Budžeta nodaļas vadītāja </t>
    </r>
    <r>
      <rPr>
        <i/>
        <sz val="10"/>
        <rFont val="Times New Roman"/>
        <family val="1"/>
        <charset val="186"/>
      </rPr>
      <t>D. Kļaviņa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</si>
</sst>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6" x14ac:knownFonts="1">
    <font>
      <sz val="10"/>
      <name val="Arial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414142"/>
      <name val="Times New Roman"/>
      <family val="1"/>
      <charset val="186"/>
    </font>
    <font>
      <sz val="11"/>
      <color rgb="FF414142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161616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</borders>
  <cellStyleXfs count="14">
    <xf numFmtId="0" fontId="0" fillId="0" borderId="0"/>
    <xf numFmtId="164" fontId="1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213">
    <xf numFmtId="0" fontId="0" fillId="0" borderId="0" xfId="0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3" fontId="3" fillId="0" borderId="1" xfId="0" applyNumberFormat="1" applyFont="1" applyBorder="1"/>
    <xf numFmtId="3" fontId="1" fillId="0" borderId="1" xfId="0" applyNumberFormat="1" applyFont="1" applyBorder="1"/>
    <xf numFmtId="3" fontId="4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3" fontId="3" fillId="2" borderId="1" xfId="0" applyNumberFormat="1" applyFont="1" applyFill="1" applyBorder="1"/>
    <xf numFmtId="0" fontId="3" fillId="0" borderId="3" xfId="0" applyFont="1" applyBorder="1" applyAlignment="1">
      <alignment horizontal="left" wrapText="1"/>
    </xf>
    <xf numFmtId="0" fontId="3" fillId="0" borderId="1" xfId="10" applyFont="1" applyBorder="1" applyAlignment="1">
      <alignment wrapText="1"/>
    </xf>
    <xf numFmtId="49" fontId="4" fillId="0" borderId="4" xfId="10" applyNumberFormat="1" applyFont="1" applyBorder="1" applyAlignment="1">
      <alignment horizontal="right"/>
    </xf>
    <xf numFmtId="49" fontId="3" fillId="0" borderId="4" xfId="10" applyNumberFormat="1" applyFont="1" applyBorder="1" applyAlignment="1">
      <alignment horizontal="right"/>
    </xf>
    <xf numFmtId="49" fontId="3" fillId="0" borderId="5" xfId="1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3" fontId="3" fillId="0" borderId="6" xfId="0" applyNumberFormat="1" applyFont="1" applyBorder="1"/>
    <xf numFmtId="3" fontId="4" fillId="0" borderId="7" xfId="0" applyNumberFormat="1" applyFont="1" applyBorder="1"/>
    <xf numFmtId="3" fontId="3" fillId="0" borderId="1" xfId="0" applyNumberFormat="1" applyFont="1" applyBorder="1" applyAlignment="1">
      <alignment horizontal="left" wrapText="1"/>
    </xf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3" fontId="4" fillId="0" borderId="8" xfId="0" applyNumberFormat="1" applyFont="1" applyBorder="1"/>
    <xf numFmtId="3" fontId="4" fillId="0" borderId="6" xfId="0" applyNumberFormat="1" applyFont="1" applyBorder="1"/>
    <xf numFmtId="3" fontId="3" fillId="2" borderId="8" xfId="0" applyNumberFormat="1" applyFont="1" applyFill="1" applyBorder="1"/>
    <xf numFmtId="3" fontId="4" fillId="2" borderId="10" xfId="0" applyNumberFormat="1" applyFont="1" applyFill="1" applyBorder="1"/>
    <xf numFmtId="3" fontId="3" fillId="2" borderId="1" xfId="10" applyNumberFormat="1" applyFont="1" applyFill="1" applyBorder="1" applyAlignment="1">
      <alignment horizontal="left" wrapText="1"/>
    </xf>
    <xf numFmtId="3" fontId="3" fillId="0" borderId="3" xfId="0" applyNumberFormat="1" applyFont="1" applyBorder="1" applyAlignment="1">
      <alignment horizontal="left" wrapText="1"/>
    </xf>
    <xf numFmtId="3" fontId="4" fillId="2" borderId="8" xfId="0" applyNumberFormat="1" applyFont="1" applyFill="1" applyBorder="1"/>
    <xf numFmtId="3" fontId="3" fillId="0" borderId="5" xfId="10" applyNumberFormat="1" applyFont="1" applyBorder="1" applyAlignment="1">
      <alignment horizontal="right"/>
    </xf>
    <xf numFmtId="0" fontId="3" fillId="0" borderId="1" xfId="5" applyFont="1" applyBorder="1" applyAlignment="1">
      <alignment horizontal="left" wrapText="1"/>
    </xf>
    <xf numFmtId="0" fontId="3" fillId="0" borderId="1" xfId="4" applyFont="1" applyBorder="1" applyAlignment="1">
      <alignment horizontal="left" wrapText="1"/>
    </xf>
    <xf numFmtId="0" fontId="11" fillId="0" borderId="1" xfId="10" applyFont="1" applyBorder="1" applyAlignment="1">
      <alignment horizontal="left" wrapText="1"/>
    </xf>
    <xf numFmtId="3" fontId="4" fillId="0" borderId="12" xfId="0" applyNumberFormat="1" applyFont="1" applyBorder="1" applyAlignment="1">
      <alignment wrapText="1"/>
    </xf>
    <xf numFmtId="0" fontId="4" fillId="0" borderId="2" xfId="4" applyFont="1" applyBorder="1" applyAlignment="1">
      <alignment horizontal="left" wrapText="1"/>
    </xf>
    <xf numFmtId="3" fontId="3" fillId="0" borderId="13" xfId="10" applyNumberFormat="1" applyFont="1" applyBorder="1" applyAlignment="1">
      <alignment wrapText="1"/>
    </xf>
    <xf numFmtId="3" fontId="3" fillId="0" borderId="1" xfId="10" applyNumberFormat="1" applyFont="1" applyBorder="1" applyAlignment="1">
      <alignment wrapText="1"/>
    </xf>
    <xf numFmtId="3" fontId="3" fillId="2" borderId="1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4" fillId="2" borderId="8" xfId="0" applyNumberFormat="1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3" fontId="3" fillId="0" borderId="4" xfId="10" applyNumberFormat="1" applyFont="1" applyBorder="1" applyAlignment="1">
      <alignment horizontal="right"/>
    </xf>
    <xf numFmtId="1" fontId="3" fillId="0" borderId="1" xfId="0" applyNumberFormat="1" applyFont="1" applyBorder="1"/>
    <xf numFmtId="3" fontId="3" fillId="0" borderId="8" xfId="0" applyNumberFormat="1" applyFont="1" applyBorder="1" applyAlignment="1">
      <alignment wrapText="1"/>
    </xf>
    <xf numFmtId="0" fontId="3" fillId="0" borderId="14" xfId="7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wrapText="1"/>
    </xf>
    <xf numFmtId="3" fontId="3" fillId="2" borderId="2" xfId="0" applyNumberFormat="1" applyFont="1" applyFill="1" applyBorder="1" applyAlignment="1">
      <alignment horizontal="right" wrapText="1"/>
    </xf>
    <xf numFmtId="3" fontId="13" fillId="0" borderId="1" xfId="0" applyNumberFormat="1" applyFont="1" applyBorder="1"/>
    <xf numFmtId="49" fontId="4" fillId="0" borderId="4" xfId="0" applyNumberFormat="1" applyFont="1" applyBorder="1" applyAlignment="1">
      <alignment horizontal="right"/>
    </xf>
    <xf numFmtId="3" fontId="4" fillId="2" borderId="6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0" fontId="3" fillId="0" borderId="3" xfId="4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49" fontId="3" fillId="0" borderId="1" xfId="10" applyNumberFormat="1" applyFont="1" applyBorder="1" applyAlignment="1">
      <alignment horizontal="right"/>
    </xf>
    <xf numFmtId="0" fontId="3" fillId="0" borderId="1" xfId="13" applyFont="1" applyBorder="1" applyAlignment="1">
      <alignment horizontal="left" vertical="top" wrapText="1"/>
    </xf>
    <xf numFmtId="0" fontId="3" fillId="0" borderId="1" xfId="6" applyFont="1" applyBorder="1" applyAlignment="1">
      <alignment horizontal="left" wrapText="1"/>
    </xf>
    <xf numFmtId="0" fontId="3" fillId="2" borderId="1" xfId="6" applyFont="1" applyFill="1" applyBorder="1" applyAlignment="1">
      <alignment horizontal="left" vertical="center" wrapText="1"/>
    </xf>
    <xf numFmtId="0" fontId="3" fillId="0" borderId="1" xfId="6" applyFont="1" applyBorder="1" applyAlignment="1">
      <alignment horizontal="left" vertical="center" wrapText="1"/>
    </xf>
    <xf numFmtId="3" fontId="4" fillId="0" borderId="15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 wrapText="1"/>
    </xf>
    <xf numFmtId="0" fontId="3" fillId="0" borderId="16" xfId="6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wrapText="1"/>
    </xf>
    <xf numFmtId="3" fontId="14" fillId="0" borderId="1" xfId="0" applyNumberFormat="1" applyFont="1" applyBorder="1"/>
    <xf numFmtId="4" fontId="3" fillId="2" borderId="8" xfId="0" applyNumberFormat="1" applyFont="1" applyFill="1" applyBorder="1"/>
    <xf numFmtId="3" fontId="7" fillId="0" borderId="1" xfId="4" applyNumberFormat="1" applyFont="1" applyBorder="1" applyAlignment="1">
      <alignment horizontal="left" wrapText="1"/>
    </xf>
    <xf numFmtId="0" fontId="3" fillId="2" borderId="13" xfId="6" applyFont="1" applyFill="1" applyBorder="1" applyAlignment="1">
      <alignment horizontal="left" vertical="center" wrapText="1"/>
    </xf>
    <xf numFmtId="0" fontId="1" fillId="0" borderId="3" xfId="6" applyFont="1" applyBorder="1" applyAlignment="1">
      <alignment horizontal="left" vertical="top" wrapText="1"/>
    </xf>
    <xf numFmtId="3" fontId="4" fillId="0" borderId="17" xfId="0" applyNumberFormat="1" applyFont="1" applyBorder="1"/>
    <xf numFmtId="0" fontId="15" fillId="3" borderId="41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3" fillId="0" borderId="15" xfId="8" applyFont="1" applyBorder="1" applyAlignment="1">
      <alignment vertical="center" wrapText="1"/>
    </xf>
    <xf numFmtId="0" fontId="15" fillId="3" borderId="41" xfId="0" applyFont="1" applyFill="1" applyBorder="1" applyAlignment="1">
      <alignment horizontal="justify" vertical="center" wrapText="1"/>
    </xf>
    <xf numFmtId="49" fontId="15" fillId="3" borderId="41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/>
    </xf>
    <xf numFmtId="49" fontId="4" fillId="3" borderId="41" xfId="0" applyNumberFormat="1" applyFont="1" applyFill="1" applyBorder="1" applyAlignment="1">
      <alignment horizontal="right" vertical="center" wrapText="1"/>
    </xf>
    <xf numFmtId="0" fontId="4" fillId="3" borderId="41" xfId="0" applyFont="1" applyFill="1" applyBorder="1" applyAlignment="1">
      <alignment horizontal="justify" vertical="center" wrapText="1"/>
    </xf>
    <xf numFmtId="3" fontId="3" fillId="0" borderId="0" xfId="0" applyNumberFormat="1" applyFont="1" applyAlignment="1">
      <alignment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wrapText="1"/>
    </xf>
    <xf numFmtId="3" fontId="4" fillId="0" borderId="21" xfId="0" applyNumberFormat="1" applyFont="1" applyBorder="1" applyAlignment="1">
      <alignment horizontal="right"/>
    </xf>
    <xf numFmtId="3" fontId="4" fillId="0" borderId="21" xfId="0" applyNumberFormat="1" applyFont="1" applyBorder="1"/>
    <xf numFmtId="3" fontId="4" fillId="0" borderId="15" xfId="0" applyNumberFormat="1" applyFont="1" applyBorder="1"/>
    <xf numFmtId="3" fontId="4" fillId="0" borderId="19" xfId="0" applyNumberFormat="1" applyFont="1" applyBorder="1"/>
    <xf numFmtId="3" fontId="3" fillId="0" borderId="5" xfId="0" applyNumberFormat="1" applyFont="1" applyBorder="1" applyAlignment="1">
      <alignment horizontal="left"/>
    </xf>
    <xf numFmtId="3" fontId="4" fillId="0" borderId="22" xfId="0" applyNumberFormat="1" applyFont="1" applyBorder="1"/>
    <xf numFmtId="3" fontId="3" fillId="0" borderId="4" xfId="0" applyNumberFormat="1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3" fontId="4" fillId="0" borderId="24" xfId="0" applyNumberFormat="1" applyFont="1" applyBorder="1"/>
    <xf numFmtId="3" fontId="4" fillId="0" borderId="2" xfId="0" applyNumberFormat="1" applyFont="1" applyBorder="1"/>
    <xf numFmtId="3" fontId="3" fillId="0" borderId="2" xfId="0" applyNumberFormat="1" applyFont="1" applyBorder="1"/>
    <xf numFmtId="3" fontId="4" fillId="0" borderId="4" xfId="0" applyNumberFormat="1" applyFont="1" applyBorder="1" applyAlignment="1">
      <alignment horizontal="left"/>
    </xf>
    <xf numFmtId="3" fontId="4" fillId="0" borderId="18" xfId="0" applyNumberFormat="1" applyFont="1" applyBorder="1"/>
    <xf numFmtId="3" fontId="4" fillId="0" borderId="23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3" fontId="4" fillId="0" borderId="25" xfId="0" applyNumberFormat="1" applyFont="1" applyBorder="1" applyAlignment="1">
      <alignment horizontal="left"/>
    </xf>
    <xf numFmtId="3" fontId="4" fillId="0" borderId="20" xfId="0" applyNumberFormat="1" applyFont="1" applyBorder="1" applyAlignment="1">
      <alignment horizontal="left"/>
    </xf>
    <xf numFmtId="3" fontId="3" fillId="0" borderId="17" xfId="0" applyNumberFormat="1" applyFont="1" applyBorder="1"/>
    <xf numFmtId="3" fontId="4" fillId="0" borderId="5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wrapText="1"/>
    </xf>
    <xf numFmtId="3" fontId="1" fillId="0" borderId="9" xfId="0" applyNumberFormat="1" applyFont="1" applyBorder="1"/>
    <xf numFmtId="3" fontId="3" fillId="0" borderId="2" xfId="0" applyNumberFormat="1" applyFont="1" applyBorder="1" applyAlignment="1">
      <alignment horizontal="left" wrapText="1"/>
    </xf>
    <xf numFmtId="3" fontId="3" fillId="0" borderId="7" xfId="0" applyNumberFormat="1" applyFont="1" applyBorder="1"/>
    <xf numFmtId="3" fontId="4" fillId="0" borderId="1" xfId="0" applyNumberFormat="1" applyFont="1" applyBorder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left" wrapText="1"/>
    </xf>
    <xf numFmtId="3" fontId="3" fillId="0" borderId="0" xfId="9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wrapText="1"/>
    </xf>
    <xf numFmtId="3" fontId="4" fillId="0" borderId="20" xfId="0" applyNumberFormat="1" applyFont="1" applyBorder="1"/>
    <xf numFmtId="3" fontId="4" fillId="0" borderId="5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wrapText="1"/>
    </xf>
    <xf numFmtId="4" fontId="3" fillId="0" borderId="2" xfId="0" applyNumberFormat="1" applyFont="1" applyBorder="1"/>
    <xf numFmtId="3" fontId="4" fillId="0" borderId="28" xfId="0" applyNumberFormat="1" applyFont="1" applyBorder="1"/>
    <xf numFmtId="49" fontId="4" fillId="0" borderId="5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wrapText="1"/>
    </xf>
    <xf numFmtId="3" fontId="4" fillId="0" borderId="2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wrapText="1"/>
    </xf>
    <xf numFmtId="3" fontId="4" fillId="0" borderId="3" xfId="0" applyNumberFormat="1" applyFont="1" applyBorder="1"/>
    <xf numFmtId="3" fontId="4" fillId="0" borderId="10" xfId="0" applyNumberFormat="1" applyFont="1" applyBorder="1"/>
    <xf numFmtId="3" fontId="4" fillId="0" borderId="29" xfId="0" applyNumberFormat="1" applyFont="1" applyBorder="1"/>
    <xf numFmtId="3" fontId="4" fillId="0" borderId="27" xfId="0" applyNumberFormat="1" applyFont="1" applyBorder="1"/>
    <xf numFmtId="49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wrapText="1"/>
    </xf>
    <xf numFmtId="3" fontId="3" fillId="0" borderId="28" xfId="0" applyNumberFormat="1" applyFont="1" applyBorder="1"/>
    <xf numFmtId="3" fontId="3" fillId="0" borderId="18" xfId="0" applyNumberFormat="1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/>
    </xf>
    <xf numFmtId="3" fontId="17" fillId="0" borderId="8" xfId="0" applyNumberFormat="1" applyFont="1" applyBorder="1"/>
    <xf numFmtId="3" fontId="3" fillId="0" borderId="12" xfId="0" applyNumberFormat="1" applyFont="1" applyBorder="1"/>
    <xf numFmtId="0" fontId="18" fillId="0" borderId="1" xfId="0" applyFont="1" applyBorder="1" applyAlignment="1">
      <alignment wrapText="1"/>
    </xf>
    <xf numFmtId="3" fontId="4" fillId="0" borderId="21" xfId="0" applyNumberFormat="1" applyFont="1" applyBorder="1" applyAlignment="1">
      <alignment horizontal="left" wrapText="1"/>
    </xf>
    <xf numFmtId="3" fontId="4" fillId="0" borderId="2" xfId="0" applyNumberFormat="1" applyFont="1" applyBorder="1" applyAlignment="1">
      <alignment horizontal="left" wrapText="1"/>
    </xf>
    <xf numFmtId="49" fontId="3" fillId="0" borderId="23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49" fontId="3" fillId="0" borderId="25" xfId="0" applyNumberFormat="1" applyFont="1" applyBorder="1" applyAlignment="1">
      <alignment horizontal="right"/>
    </xf>
    <xf numFmtId="3" fontId="17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right"/>
    </xf>
    <xf numFmtId="3" fontId="1" fillId="2" borderId="1" xfId="0" applyNumberFormat="1" applyFont="1" applyFill="1" applyBorder="1"/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3" fontId="19" fillId="0" borderId="1" xfId="0" applyNumberFormat="1" applyFont="1" applyBorder="1"/>
    <xf numFmtId="3" fontId="20" fillId="0" borderId="1" xfId="0" applyNumberFormat="1" applyFont="1" applyBorder="1"/>
    <xf numFmtId="3" fontId="20" fillId="2" borderId="1" xfId="0" applyNumberFormat="1" applyFont="1" applyFill="1" applyBorder="1"/>
    <xf numFmtId="3" fontId="3" fillId="0" borderId="30" xfId="0" applyNumberFormat="1" applyFont="1" applyBorder="1" applyAlignment="1">
      <alignment wrapText="1"/>
    </xf>
    <xf numFmtId="49" fontId="4" fillId="0" borderId="1" xfId="10" applyNumberFormat="1" applyFont="1" applyBorder="1" applyAlignment="1">
      <alignment horizontal="right"/>
    </xf>
    <xf numFmtId="0" fontId="19" fillId="0" borderId="1" xfId="0" applyFont="1" applyBorder="1"/>
    <xf numFmtId="3" fontId="4" fillId="0" borderId="31" xfId="0" applyNumberFormat="1" applyFont="1" applyBorder="1" applyAlignment="1">
      <alignment horizontal="left"/>
    </xf>
    <xf numFmtId="3" fontId="1" fillId="0" borderId="8" xfId="0" applyNumberFormat="1" applyFont="1" applyBorder="1"/>
    <xf numFmtId="4" fontId="3" fillId="0" borderId="8" xfId="0" applyNumberFormat="1" applyFont="1" applyBorder="1"/>
    <xf numFmtId="3" fontId="4" fillId="0" borderId="32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wrapText="1"/>
    </xf>
    <xf numFmtId="3" fontId="4" fillId="0" borderId="26" xfId="0" applyNumberFormat="1" applyFont="1" applyBorder="1"/>
    <xf numFmtId="3" fontId="3" fillId="0" borderId="1" xfId="6" applyNumberFormat="1" applyFont="1" applyBorder="1" applyAlignment="1">
      <alignment horizontal="left" wrapText="1"/>
    </xf>
    <xf numFmtId="3" fontId="3" fillId="0" borderId="8" xfId="4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/>
    </xf>
    <xf numFmtId="3" fontId="3" fillId="0" borderId="0" xfId="5" applyNumberFormat="1" applyFont="1" applyAlignment="1">
      <alignment horizontal="left" wrapText="1"/>
    </xf>
    <xf numFmtId="0" fontId="7" fillId="0" borderId="0" xfId="0" applyFont="1" applyAlignment="1">
      <alignment wrapText="1"/>
    </xf>
    <xf numFmtId="49" fontId="3" fillId="0" borderId="3" xfId="10" applyNumberFormat="1" applyFont="1" applyBorder="1" applyAlignment="1">
      <alignment horizontal="right"/>
    </xf>
    <xf numFmtId="0" fontId="3" fillId="0" borderId="3" xfId="6" applyFont="1" applyBorder="1" applyAlignment="1">
      <alignment horizontal="left" wrapText="1"/>
    </xf>
    <xf numFmtId="3" fontId="4" fillId="0" borderId="32" xfId="0" applyNumberFormat="1" applyFont="1" applyBorder="1" applyAlignment="1">
      <alignment horizontal="left"/>
    </xf>
    <xf numFmtId="3" fontId="3" fillId="0" borderId="1" xfId="4" applyNumberFormat="1" applyFont="1" applyBorder="1" applyAlignment="1">
      <alignment horizontal="left" wrapText="1"/>
    </xf>
    <xf numFmtId="3" fontId="3" fillId="0" borderId="20" xfId="0" applyNumberFormat="1" applyFont="1" applyBorder="1"/>
    <xf numFmtId="3" fontId="4" fillId="0" borderId="0" xfId="0" applyNumberFormat="1" applyFont="1" applyAlignment="1">
      <alignment horizontal="left" wrapText="1"/>
    </xf>
    <xf numFmtId="3" fontId="4" fillId="0" borderId="0" xfId="3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21" fillId="0" borderId="0" xfId="0" applyNumberFormat="1" applyFont="1"/>
    <xf numFmtId="3" fontId="10" fillId="0" borderId="0" xfId="0" applyNumberFormat="1" applyFont="1"/>
    <xf numFmtId="0" fontId="3" fillId="0" borderId="33" xfId="8" applyFont="1" applyBorder="1" applyAlignment="1">
      <alignment vertical="center" wrapText="1"/>
    </xf>
    <xf numFmtId="37" fontId="22" fillId="4" borderId="2" xfId="0" applyNumberFormat="1" applyFont="1" applyFill="1" applyBorder="1" applyAlignment="1">
      <alignment horizontal="right" vertical="center"/>
    </xf>
    <xf numFmtId="3" fontId="4" fillId="0" borderId="34" xfId="0" applyNumberFormat="1" applyFont="1" applyBorder="1"/>
    <xf numFmtId="37" fontId="22" fillId="4" borderId="1" xfId="0" applyNumberFormat="1" applyFont="1" applyFill="1" applyBorder="1" applyAlignment="1">
      <alignment horizontal="right" vertical="center"/>
    </xf>
    <xf numFmtId="3" fontId="4" fillId="0" borderId="35" xfId="0" applyNumberFormat="1" applyFont="1" applyBorder="1"/>
    <xf numFmtId="3" fontId="7" fillId="0" borderId="1" xfId="0" applyNumberFormat="1" applyFont="1" applyBorder="1"/>
    <xf numFmtId="3" fontId="3" fillId="0" borderId="3" xfId="0" applyNumberFormat="1" applyFont="1" applyBorder="1" applyAlignment="1">
      <alignment wrapText="1"/>
    </xf>
    <xf numFmtId="37" fontId="22" fillId="4" borderId="3" xfId="0" applyNumberFormat="1" applyFont="1" applyFill="1" applyBorder="1" applyAlignment="1">
      <alignment horizontal="right" vertical="center"/>
    </xf>
    <xf numFmtId="3" fontId="4" fillId="0" borderId="36" xfId="0" applyNumberFormat="1" applyFont="1" applyBorder="1"/>
    <xf numFmtId="3" fontId="3" fillId="0" borderId="37" xfId="0" applyNumberFormat="1" applyFont="1" applyBorder="1"/>
    <xf numFmtId="3" fontId="4" fillId="0" borderId="38" xfId="0" applyNumberFormat="1" applyFont="1" applyBorder="1"/>
    <xf numFmtId="3" fontId="3" fillId="0" borderId="30" xfId="0" applyNumberFormat="1" applyFont="1" applyBorder="1"/>
    <xf numFmtId="3" fontId="3" fillId="0" borderId="29" xfId="0" applyNumberFormat="1" applyFont="1" applyBorder="1" applyAlignment="1">
      <alignment wrapText="1"/>
    </xf>
    <xf numFmtId="3" fontId="4" fillId="0" borderId="39" xfId="0" applyNumberFormat="1" applyFont="1" applyBorder="1"/>
    <xf numFmtId="3" fontId="3" fillId="0" borderId="39" xfId="0" applyNumberFormat="1" applyFont="1" applyBorder="1"/>
    <xf numFmtId="3" fontId="3" fillId="0" borderId="36" xfId="0" applyNumberFormat="1" applyFont="1" applyBorder="1"/>
    <xf numFmtId="3" fontId="4" fillId="0" borderId="31" xfId="0" applyNumberFormat="1" applyFont="1" applyBorder="1"/>
    <xf numFmtId="3" fontId="4" fillId="0" borderId="11" xfId="0" applyNumberFormat="1" applyFont="1" applyBorder="1"/>
    <xf numFmtId="3" fontId="1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23" fillId="0" borderId="40" xfId="0" applyNumberFormat="1" applyFont="1" applyBorder="1" applyAlignment="1">
      <alignment horizontal="center" wrapText="1"/>
    </xf>
    <xf numFmtId="3" fontId="1" fillId="0" borderId="0" xfId="3" applyNumberFormat="1" applyFont="1" applyAlignment="1">
      <alignment horizontal="right" wrapText="1"/>
    </xf>
  </cellXfs>
  <cellStyles count="14">
    <cellStyle name="Comma 2" xfId="1" xr:uid="{00000000-0005-0000-0000-000000000000}"/>
    <cellStyle name="Normal" xfId="0" builtinId="0"/>
    <cellStyle name="Normal 2" xfId="2" xr:uid="{00000000-0005-0000-0000-000002000000}"/>
    <cellStyle name="Normal_2009.g plāns apst 3" xfId="3" xr:uid="{00000000-0005-0000-0000-000003000000}"/>
    <cellStyle name="Normal_PROJEKTI_2016_PLĀNS_Aija un Inese" xfId="4" xr:uid="{00000000-0005-0000-0000-000004000000}"/>
    <cellStyle name="Normal_PROJEKTI_2016_PLĀNS_Aija un Inese 2" xfId="5" xr:uid="{00000000-0005-0000-0000-000005000000}"/>
    <cellStyle name="Normal_PROJEKTI_2016_PLĀNS_Aija un Inese 3" xfId="6" xr:uid="{00000000-0005-0000-0000-000006000000}"/>
    <cellStyle name="Normal_Sheet1" xfId="7" xr:uid="{00000000-0005-0000-0000-000007000000}"/>
    <cellStyle name="Normal_Sheet1_Pielikumi oktobra korekcijam 2" xfId="8" xr:uid="{00000000-0005-0000-0000-000008000000}"/>
    <cellStyle name="Normal_Specbudz.kopsavilkums 2006.g un korekc. 2" xfId="9" xr:uid="{00000000-0005-0000-0000-000009000000}"/>
    <cellStyle name="Parasts 2" xfId="10" xr:uid="{00000000-0005-0000-0000-00000A000000}"/>
    <cellStyle name="Parasts 2 2" xfId="11" xr:uid="{00000000-0005-0000-0000-00000B000000}"/>
    <cellStyle name="Parasts 2_2016.g. Ieņēmumu un izdevumu plāns" xfId="12" xr:uid="{00000000-0005-0000-0000-00000C000000}"/>
    <cellStyle name="Parasts 4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6"/>
  <sheetViews>
    <sheetView tabSelected="1" zoomScale="93" zoomScaleNormal="93" workbookViewId="0">
      <pane ySplit="1" topLeftCell="A273" activePane="bottomLeft" state="frozen"/>
      <selection pane="bottomLeft" activeCell="E58" sqref="E58"/>
    </sheetView>
  </sheetViews>
  <sheetFormatPr defaultColWidth="9.140625" defaultRowHeight="15" x14ac:dyDescent="0.25"/>
  <cols>
    <col min="1" max="1" width="11" style="5" customWidth="1"/>
    <col min="2" max="2" width="45.85546875" style="90" customWidth="1"/>
    <col min="3" max="3" width="12.7109375" style="5" customWidth="1"/>
    <col min="4" max="4" width="14" style="5" customWidth="1"/>
    <col min="5" max="5" width="14.140625" style="5" customWidth="1"/>
    <col min="6" max="6" width="11.7109375" style="5" customWidth="1"/>
    <col min="7" max="7" width="17.5703125" style="5" customWidth="1"/>
    <col min="8" max="8" width="12.5703125" style="5" customWidth="1"/>
    <col min="9" max="9" width="15.140625" style="2" customWidth="1"/>
    <col min="10" max="10" width="10.5703125" style="5" bestFit="1" customWidth="1"/>
    <col min="11" max="11" width="9.85546875" style="5" bestFit="1" customWidth="1"/>
    <col min="12" max="16384" width="9.140625" style="5"/>
  </cols>
  <sheetData>
    <row r="1" spans="1:9" x14ac:dyDescent="0.25">
      <c r="A1" s="210"/>
      <c r="B1" s="210"/>
      <c r="C1" s="210"/>
      <c r="D1" s="210"/>
      <c r="E1" s="210"/>
      <c r="F1" s="210"/>
      <c r="G1" s="210"/>
      <c r="H1" s="210"/>
      <c r="I1" s="210"/>
    </row>
    <row r="2" spans="1:9" x14ac:dyDescent="0.25">
      <c r="A2" s="1"/>
      <c r="C2" s="1"/>
      <c r="D2" s="1"/>
      <c r="E2" s="1"/>
      <c r="F2" s="1"/>
      <c r="G2" s="1"/>
      <c r="H2" s="1"/>
      <c r="I2" s="3"/>
    </row>
    <row r="3" spans="1:9" x14ac:dyDescent="0.25">
      <c r="A3" s="1"/>
      <c r="C3" s="1"/>
      <c r="D3" s="1"/>
      <c r="E3" s="1"/>
      <c r="F3" s="1"/>
      <c r="G3" s="1"/>
      <c r="H3" s="1"/>
      <c r="I3" s="3"/>
    </row>
    <row r="4" spans="1:9" x14ac:dyDescent="0.25">
      <c r="A4" s="1"/>
      <c r="C4" s="1"/>
      <c r="D4" s="1"/>
      <c r="E4" s="1"/>
      <c r="F4" s="1"/>
      <c r="H4" s="1"/>
      <c r="I4" s="121" t="s">
        <v>645</v>
      </c>
    </row>
    <row r="5" spans="1:9" x14ac:dyDescent="0.25">
      <c r="A5" s="3"/>
      <c r="B5" s="123"/>
      <c r="C5" s="1"/>
      <c r="D5" s="124"/>
      <c r="E5" s="124"/>
      <c r="F5" s="1"/>
      <c r="H5" s="124"/>
      <c r="I5" s="121" t="s">
        <v>205</v>
      </c>
    </row>
    <row r="6" spans="1:9" x14ac:dyDescent="0.25">
      <c r="A6" s="3"/>
      <c r="B6" s="123"/>
      <c r="C6" s="1"/>
      <c r="D6" s="125"/>
      <c r="E6" s="125"/>
      <c r="F6" s="1"/>
      <c r="H6" s="125"/>
      <c r="I6" s="121" t="s">
        <v>644</v>
      </c>
    </row>
    <row r="7" spans="1:9" x14ac:dyDescent="0.25">
      <c r="A7" s="15"/>
      <c r="B7" s="126"/>
      <c r="C7" s="1"/>
      <c r="D7" s="125"/>
      <c r="E7" s="125"/>
      <c r="F7" s="1"/>
      <c r="G7" s="1"/>
      <c r="H7" s="125"/>
      <c r="I7" s="3"/>
    </row>
    <row r="8" spans="1:9" ht="40.5" customHeight="1" thickBot="1" x14ac:dyDescent="0.35">
      <c r="A8" s="211" t="s">
        <v>646</v>
      </c>
      <c r="B8" s="211"/>
      <c r="C8" s="211"/>
      <c r="D8" s="211"/>
      <c r="E8" s="211"/>
      <c r="F8" s="211"/>
      <c r="G8" s="211"/>
      <c r="H8" s="211"/>
      <c r="I8" s="211"/>
    </row>
    <row r="9" spans="1:9" ht="106.5" customHeight="1" thickBot="1" x14ac:dyDescent="0.3">
      <c r="A9" s="91" t="s">
        <v>8</v>
      </c>
      <c r="B9" s="92" t="s">
        <v>62</v>
      </c>
      <c r="C9" s="93" t="s">
        <v>543</v>
      </c>
      <c r="D9" s="57" t="s">
        <v>544</v>
      </c>
      <c r="E9" s="94" t="s">
        <v>545</v>
      </c>
      <c r="F9" s="94" t="s">
        <v>546</v>
      </c>
      <c r="G9" s="84" t="s">
        <v>650</v>
      </c>
      <c r="H9" s="94" t="s">
        <v>428</v>
      </c>
      <c r="I9" s="95" t="s">
        <v>547</v>
      </c>
    </row>
    <row r="10" spans="1:9" ht="15.75" thickBot="1" x14ac:dyDescent="0.3">
      <c r="A10" s="128" t="s">
        <v>11</v>
      </c>
      <c r="B10" s="96" t="s">
        <v>12</v>
      </c>
      <c r="C10" s="99">
        <f t="shared" ref="C10:H10" si="0">C11+C12+C13+C14+C16+C17+C19</f>
        <v>11969241</v>
      </c>
      <c r="D10" s="99">
        <f t="shared" si="0"/>
        <v>0</v>
      </c>
      <c r="E10" s="99">
        <f t="shared" si="0"/>
        <v>0</v>
      </c>
      <c r="F10" s="99">
        <f t="shared" si="0"/>
        <v>0</v>
      </c>
      <c r="G10" s="99">
        <f t="shared" si="0"/>
        <v>0</v>
      </c>
      <c r="H10" s="99">
        <f t="shared" si="0"/>
        <v>0</v>
      </c>
      <c r="I10" s="100">
        <f t="shared" ref="I10:I19" si="1">SUM(C10:H10)</f>
        <v>11969241</v>
      </c>
    </row>
    <row r="11" spans="1:9" x14ac:dyDescent="0.25">
      <c r="A11" s="129" t="s">
        <v>93</v>
      </c>
      <c r="B11" s="130" t="s">
        <v>94</v>
      </c>
      <c r="C11" s="33">
        <v>7673525</v>
      </c>
      <c r="D11" s="131"/>
      <c r="E11" s="107"/>
      <c r="F11" s="26"/>
      <c r="G11" s="132"/>
      <c r="H11" s="119"/>
      <c r="I11" s="80">
        <f t="shared" si="1"/>
        <v>7673525</v>
      </c>
    </row>
    <row r="12" spans="1:9" ht="29.25" x14ac:dyDescent="0.25">
      <c r="A12" s="133" t="s">
        <v>426</v>
      </c>
      <c r="B12" s="130" t="s">
        <v>225</v>
      </c>
      <c r="C12" s="33">
        <v>0</v>
      </c>
      <c r="D12" s="107"/>
      <c r="E12" s="25"/>
      <c r="F12" s="106"/>
      <c r="G12" s="32"/>
      <c r="H12" s="25"/>
      <c r="I12" s="109">
        <f t="shared" si="1"/>
        <v>0</v>
      </c>
    </row>
    <row r="13" spans="1:9" ht="29.25" x14ac:dyDescent="0.25">
      <c r="A13" s="133" t="s">
        <v>195</v>
      </c>
      <c r="B13" s="130" t="s">
        <v>214</v>
      </c>
      <c r="C13" s="33">
        <f>19439+215270</f>
        <v>234709</v>
      </c>
      <c r="D13" s="107"/>
      <c r="E13" s="25"/>
      <c r="F13" s="106"/>
      <c r="G13" s="32"/>
      <c r="H13" s="25"/>
      <c r="I13" s="109">
        <f t="shared" si="1"/>
        <v>234709</v>
      </c>
    </row>
    <row r="14" spans="1:9" x14ac:dyDescent="0.25">
      <c r="A14" s="134" t="s">
        <v>13</v>
      </c>
      <c r="B14" s="116" t="s">
        <v>14</v>
      </c>
      <c r="C14" s="32">
        <f t="shared" ref="C14:H14" si="2">SUM(C15:C15)</f>
        <v>2849146</v>
      </c>
      <c r="D14" s="32">
        <f t="shared" si="2"/>
        <v>0</v>
      </c>
      <c r="E14" s="32">
        <f t="shared" si="2"/>
        <v>0</v>
      </c>
      <c r="F14" s="8">
        <f t="shared" si="2"/>
        <v>0</v>
      </c>
      <c r="G14" s="32">
        <f t="shared" si="2"/>
        <v>0</v>
      </c>
      <c r="H14" s="32">
        <f t="shared" si="2"/>
        <v>0</v>
      </c>
      <c r="I14" s="109">
        <f t="shared" si="1"/>
        <v>2849146</v>
      </c>
    </row>
    <row r="15" spans="1:9" x14ac:dyDescent="0.25">
      <c r="A15" s="104" t="s">
        <v>15</v>
      </c>
      <c r="B15" s="24" t="s">
        <v>240</v>
      </c>
      <c r="C15" s="28">
        <v>2849146</v>
      </c>
      <c r="D15" s="6"/>
      <c r="E15" s="28"/>
      <c r="F15" s="6"/>
      <c r="G15" s="28"/>
      <c r="H15" s="28"/>
      <c r="I15" s="109">
        <f t="shared" si="1"/>
        <v>2849146</v>
      </c>
    </row>
    <row r="16" spans="1:9" ht="29.25" x14ac:dyDescent="0.25">
      <c r="A16" s="61" t="s">
        <v>239</v>
      </c>
      <c r="B16" s="120" t="s">
        <v>95</v>
      </c>
      <c r="C16" s="28">
        <v>9323</v>
      </c>
      <c r="D16" s="6"/>
      <c r="E16" s="28"/>
      <c r="F16" s="6"/>
      <c r="G16" s="28"/>
      <c r="H16" s="28"/>
      <c r="I16" s="109">
        <f t="shared" si="1"/>
        <v>9323</v>
      </c>
    </row>
    <row r="17" spans="1:9" ht="29.25" x14ac:dyDescent="0.25">
      <c r="A17" s="134" t="s">
        <v>16</v>
      </c>
      <c r="B17" s="120" t="s">
        <v>17</v>
      </c>
      <c r="C17" s="32">
        <f t="shared" ref="C17:H17" si="3">SUM(C18:C18)</f>
        <v>900000</v>
      </c>
      <c r="D17" s="32">
        <f t="shared" si="3"/>
        <v>0</v>
      </c>
      <c r="E17" s="32">
        <f t="shared" si="3"/>
        <v>0</v>
      </c>
      <c r="F17" s="32">
        <f t="shared" si="3"/>
        <v>0</v>
      </c>
      <c r="G17" s="32">
        <f t="shared" si="3"/>
        <v>0</v>
      </c>
      <c r="H17" s="32">
        <f t="shared" si="3"/>
        <v>0</v>
      </c>
      <c r="I17" s="109">
        <f t="shared" si="1"/>
        <v>900000</v>
      </c>
    </row>
    <row r="18" spans="1:9" x14ac:dyDescent="0.25">
      <c r="A18" s="135" t="s">
        <v>171</v>
      </c>
      <c r="B18" s="24" t="s">
        <v>241</v>
      </c>
      <c r="C18" s="28">
        <v>900000</v>
      </c>
      <c r="D18" s="6"/>
      <c r="E18" s="28"/>
      <c r="F18" s="6"/>
      <c r="G18" s="28"/>
      <c r="H18" s="28"/>
      <c r="I18" s="109">
        <f t="shared" si="1"/>
        <v>900000</v>
      </c>
    </row>
    <row r="19" spans="1:9" s="2" customFormat="1" thickBot="1" x14ac:dyDescent="0.25">
      <c r="A19" s="136" t="s">
        <v>18</v>
      </c>
      <c r="B19" s="137" t="s">
        <v>96</v>
      </c>
      <c r="C19" s="35">
        <f>500000-197462</f>
        <v>302538</v>
      </c>
      <c r="D19" s="138"/>
      <c r="E19" s="139"/>
      <c r="F19" s="140"/>
      <c r="G19" s="3"/>
      <c r="H19" s="139"/>
      <c r="I19" s="141">
        <f t="shared" si="1"/>
        <v>302538</v>
      </c>
    </row>
    <row r="20" spans="1:9" ht="15.75" thickBot="1" x14ac:dyDescent="0.3">
      <c r="A20" s="113" t="s">
        <v>19</v>
      </c>
      <c r="B20" s="96" t="s">
        <v>20</v>
      </c>
      <c r="C20" s="99">
        <f>C21+C22+C23+C24</f>
        <v>3083156</v>
      </c>
      <c r="D20" s="99">
        <f>D21+D22+D24</f>
        <v>0</v>
      </c>
      <c r="E20" s="99">
        <f>E21+E22+E24</f>
        <v>0</v>
      </c>
      <c r="F20" s="99">
        <f>F21+F22+F24</f>
        <v>0</v>
      </c>
      <c r="G20" s="99">
        <f>G21+G22+G24</f>
        <v>0</v>
      </c>
      <c r="H20" s="99">
        <f>H21+H22+H24</f>
        <v>0</v>
      </c>
      <c r="I20" s="100">
        <f>I21+I22+I24+I23</f>
        <v>3083156</v>
      </c>
    </row>
    <row r="21" spans="1:9" x14ac:dyDescent="0.25">
      <c r="A21" s="142" t="s">
        <v>217</v>
      </c>
      <c r="B21" s="143" t="s">
        <v>499</v>
      </c>
      <c r="C21" s="25">
        <v>2536003</v>
      </c>
      <c r="D21" s="107"/>
      <c r="E21" s="25"/>
      <c r="F21" s="107"/>
      <c r="G21" s="144"/>
      <c r="H21" s="25"/>
      <c r="I21" s="114">
        <f>SUM(C21:H21)</f>
        <v>2536003</v>
      </c>
    </row>
    <row r="22" spans="1:9" ht="30" x14ac:dyDescent="0.25">
      <c r="A22" s="53" t="s">
        <v>172</v>
      </c>
      <c r="B22" s="24" t="s">
        <v>156</v>
      </c>
      <c r="C22" s="28">
        <v>110485</v>
      </c>
      <c r="D22" s="28"/>
      <c r="E22" s="28"/>
      <c r="F22" s="28"/>
      <c r="G22" s="28"/>
      <c r="H22" s="28"/>
      <c r="I22" s="145">
        <f>SUM(C22:H22)</f>
        <v>110485</v>
      </c>
    </row>
    <row r="23" spans="1:9" ht="45" x14ac:dyDescent="0.25">
      <c r="A23" s="53" t="s">
        <v>548</v>
      </c>
      <c r="B23" s="24" t="s">
        <v>549</v>
      </c>
      <c r="C23" s="28">
        <v>405702</v>
      </c>
      <c r="D23" s="28"/>
      <c r="E23" s="28"/>
      <c r="F23" s="28"/>
      <c r="G23" s="28"/>
      <c r="H23" s="28"/>
      <c r="I23" s="145">
        <f>SUM(C23:H23)</f>
        <v>405702</v>
      </c>
    </row>
    <row r="24" spans="1:9" s="2" customFormat="1" ht="30.75" thickBot="1" x14ac:dyDescent="0.3">
      <c r="A24" s="54" t="s">
        <v>353</v>
      </c>
      <c r="B24" s="24" t="s">
        <v>350</v>
      </c>
      <c r="C24" s="6">
        <v>30966</v>
      </c>
      <c r="D24" s="6"/>
      <c r="E24" s="28"/>
      <c r="F24" s="6"/>
      <c r="G24" s="28"/>
      <c r="H24" s="28"/>
      <c r="I24" s="145">
        <f>SUM(C24:H24)</f>
        <v>30966</v>
      </c>
    </row>
    <row r="25" spans="1:9" ht="15.75" thickBot="1" x14ac:dyDescent="0.3">
      <c r="A25" s="113" t="s">
        <v>1</v>
      </c>
      <c r="B25" s="96" t="s">
        <v>21</v>
      </c>
      <c r="C25" s="97">
        <f t="shared" ref="C25:I25" si="4">SUM(C26,C32:C33,C65)</f>
        <v>8477100</v>
      </c>
      <c r="D25" s="97">
        <f t="shared" si="4"/>
        <v>206396</v>
      </c>
      <c r="E25" s="97">
        <f t="shared" si="4"/>
        <v>0</v>
      </c>
      <c r="F25" s="97">
        <f t="shared" si="4"/>
        <v>0</v>
      </c>
      <c r="G25" s="71">
        <f t="shared" si="4"/>
        <v>1222949</v>
      </c>
      <c r="H25" s="97">
        <f t="shared" si="4"/>
        <v>0</v>
      </c>
      <c r="I25" s="87">
        <f t="shared" si="4"/>
        <v>9906445</v>
      </c>
    </row>
    <row r="26" spans="1:9" x14ac:dyDescent="0.25">
      <c r="A26" s="129" t="s">
        <v>22</v>
      </c>
      <c r="B26" s="106" t="s">
        <v>23</v>
      </c>
      <c r="C26" s="33">
        <f t="shared" ref="C26:H26" si="5">SUM(C27:C31)</f>
        <v>429937</v>
      </c>
      <c r="D26" s="33">
        <f t="shared" si="5"/>
        <v>0</v>
      </c>
      <c r="E26" s="33">
        <f t="shared" si="5"/>
        <v>0</v>
      </c>
      <c r="F26" s="106">
        <f t="shared" si="5"/>
        <v>0</v>
      </c>
      <c r="G26" s="33">
        <f t="shared" si="5"/>
        <v>0</v>
      </c>
      <c r="H26" s="33">
        <f t="shared" si="5"/>
        <v>0</v>
      </c>
      <c r="I26" s="80">
        <f t="shared" ref="I26:I32" si="6">SUM(C26:H26)</f>
        <v>429937</v>
      </c>
    </row>
    <row r="27" spans="1:9" x14ac:dyDescent="0.25">
      <c r="A27" s="142" t="s">
        <v>97</v>
      </c>
      <c r="B27" s="107" t="s">
        <v>98</v>
      </c>
      <c r="C27" s="107">
        <f>99958+2374</f>
        <v>102332</v>
      </c>
      <c r="D27" s="107"/>
      <c r="E27" s="25"/>
      <c r="F27" s="107"/>
      <c r="G27" s="28"/>
      <c r="H27" s="25"/>
      <c r="I27" s="109">
        <f t="shared" si="6"/>
        <v>102332</v>
      </c>
    </row>
    <row r="28" spans="1:9" ht="30" x14ac:dyDescent="0.25">
      <c r="A28" s="142" t="s">
        <v>173</v>
      </c>
      <c r="B28" s="27" t="s">
        <v>196</v>
      </c>
      <c r="C28" s="25">
        <f>20000+1815+10689</f>
        <v>32504</v>
      </c>
      <c r="D28" s="107"/>
      <c r="E28" s="25"/>
      <c r="F28" s="107"/>
      <c r="G28" s="28"/>
      <c r="H28" s="25"/>
      <c r="I28" s="109">
        <f t="shared" si="6"/>
        <v>32504</v>
      </c>
    </row>
    <row r="29" spans="1:9" x14ac:dyDescent="0.25">
      <c r="A29" s="142" t="s">
        <v>174</v>
      </c>
      <c r="B29" s="111" t="s">
        <v>167</v>
      </c>
      <c r="C29" s="25">
        <f>5000-2374</f>
        <v>2626</v>
      </c>
      <c r="D29" s="107"/>
      <c r="E29" s="25"/>
      <c r="F29" s="107"/>
      <c r="G29" s="28"/>
      <c r="H29" s="25"/>
      <c r="I29" s="109">
        <f t="shared" si="6"/>
        <v>2626</v>
      </c>
    </row>
    <row r="30" spans="1:9" ht="60" x14ac:dyDescent="0.25">
      <c r="A30" s="13" t="s">
        <v>550</v>
      </c>
      <c r="B30" s="10" t="s">
        <v>551</v>
      </c>
      <c r="C30" s="6">
        <f>974219-854429</f>
        <v>119790</v>
      </c>
      <c r="D30" s="107"/>
      <c r="E30" s="25"/>
      <c r="F30" s="107"/>
      <c r="G30" s="28"/>
      <c r="H30" s="25"/>
      <c r="I30" s="109">
        <f>SUM(C30:H30)</f>
        <v>119790</v>
      </c>
    </row>
    <row r="31" spans="1:9" x14ac:dyDescent="0.25">
      <c r="A31" s="21" t="s">
        <v>185</v>
      </c>
      <c r="B31" s="41" t="s">
        <v>186</v>
      </c>
      <c r="C31" s="25">
        <v>172685</v>
      </c>
      <c r="D31" s="107"/>
      <c r="E31" s="25"/>
      <c r="F31" s="107"/>
      <c r="G31" s="28"/>
      <c r="H31" s="25"/>
      <c r="I31" s="109">
        <f t="shared" si="6"/>
        <v>172685</v>
      </c>
    </row>
    <row r="32" spans="1:9" x14ac:dyDescent="0.25">
      <c r="A32" s="129" t="s">
        <v>175</v>
      </c>
      <c r="B32" s="130" t="s">
        <v>63</v>
      </c>
      <c r="C32" s="33">
        <v>680457</v>
      </c>
      <c r="D32" s="6"/>
      <c r="E32" s="28"/>
      <c r="F32" s="6"/>
      <c r="G32" s="28"/>
      <c r="H32" s="28"/>
      <c r="I32" s="109">
        <f t="shared" si="6"/>
        <v>680457</v>
      </c>
    </row>
    <row r="33" spans="1:9" x14ac:dyDescent="0.25">
      <c r="A33" s="134" t="s">
        <v>24</v>
      </c>
      <c r="B33" s="116" t="s">
        <v>25</v>
      </c>
      <c r="C33" s="32">
        <f t="shared" ref="C33:I33" si="7">SUM(C34:C64)</f>
        <v>7109421</v>
      </c>
      <c r="D33" s="32">
        <f t="shared" si="7"/>
        <v>206396</v>
      </c>
      <c r="E33" s="32">
        <f t="shared" si="7"/>
        <v>0</v>
      </c>
      <c r="F33" s="32">
        <f t="shared" si="7"/>
        <v>0</v>
      </c>
      <c r="G33" s="32">
        <f t="shared" si="7"/>
        <v>0</v>
      </c>
      <c r="H33" s="32">
        <f t="shared" si="7"/>
        <v>0</v>
      </c>
      <c r="I33" s="109">
        <f t="shared" si="7"/>
        <v>7315817</v>
      </c>
    </row>
    <row r="34" spans="1:9" x14ac:dyDescent="0.25">
      <c r="A34" s="53" t="s">
        <v>183</v>
      </c>
      <c r="B34" s="24" t="s">
        <v>633</v>
      </c>
      <c r="C34" s="28">
        <f>1745348-17052</f>
        <v>1728296</v>
      </c>
      <c r="D34" s="6"/>
      <c r="E34" s="28"/>
      <c r="F34" s="6"/>
      <c r="G34" s="28"/>
      <c r="H34" s="28"/>
      <c r="I34" s="109">
        <f t="shared" ref="I34:I64" si="8">SUM(C34:H34)</f>
        <v>1728296</v>
      </c>
    </row>
    <row r="35" spans="1:9" x14ac:dyDescent="0.25">
      <c r="A35" s="53" t="s">
        <v>242</v>
      </c>
      <c r="B35" s="74" t="s">
        <v>355</v>
      </c>
      <c r="C35" s="6">
        <v>72578</v>
      </c>
      <c r="D35" s="6"/>
      <c r="E35" s="146"/>
      <c r="F35" s="6"/>
      <c r="G35" s="28"/>
      <c r="H35" s="28"/>
      <c r="I35" s="109">
        <f t="shared" si="8"/>
        <v>72578</v>
      </c>
    </row>
    <row r="36" spans="1:9" ht="30" x14ac:dyDescent="0.25">
      <c r="A36" s="53" t="s">
        <v>243</v>
      </c>
      <c r="B36" s="74" t="s">
        <v>244</v>
      </c>
      <c r="C36" s="6">
        <v>79409</v>
      </c>
      <c r="D36" s="6"/>
      <c r="E36" s="146"/>
      <c r="F36" s="6"/>
      <c r="G36" s="28"/>
      <c r="H36" s="28"/>
      <c r="I36" s="109">
        <f t="shared" si="8"/>
        <v>79409</v>
      </c>
    </row>
    <row r="37" spans="1:9" x14ac:dyDescent="0.25">
      <c r="A37" s="53" t="s">
        <v>245</v>
      </c>
      <c r="B37" s="14" t="s">
        <v>246</v>
      </c>
      <c r="C37" s="16">
        <f>207216+17052</f>
        <v>224268</v>
      </c>
      <c r="D37" s="6"/>
      <c r="E37" s="13"/>
      <c r="F37" s="6"/>
      <c r="G37" s="28"/>
      <c r="H37" s="28"/>
      <c r="I37" s="109">
        <f t="shared" si="8"/>
        <v>224268</v>
      </c>
    </row>
    <row r="38" spans="1:9" ht="30" x14ac:dyDescent="0.25">
      <c r="A38" s="53" t="s">
        <v>247</v>
      </c>
      <c r="B38" s="74" t="s">
        <v>248</v>
      </c>
      <c r="C38" s="16">
        <v>110010</v>
      </c>
      <c r="D38" s="6"/>
      <c r="E38" s="146"/>
      <c r="F38" s="6"/>
      <c r="G38" s="28"/>
      <c r="H38" s="28"/>
      <c r="I38" s="109">
        <f t="shared" si="8"/>
        <v>110010</v>
      </c>
    </row>
    <row r="39" spans="1:9" ht="30" x14ac:dyDescent="0.25">
      <c r="A39" s="53" t="s">
        <v>249</v>
      </c>
      <c r="B39" s="74" t="s">
        <v>250</v>
      </c>
      <c r="C39" s="16">
        <v>98939</v>
      </c>
      <c r="D39" s="6"/>
      <c r="E39" s="146"/>
      <c r="F39" s="6"/>
      <c r="G39" s="28"/>
      <c r="H39" s="28"/>
      <c r="I39" s="109">
        <f t="shared" si="8"/>
        <v>98939</v>
      </c>
    </row>
    <row r="40" spans="1:9" x14ac:dyDescent="0.25">
      <c r="A40" s="53" t="s">
        <v>251</v>
      </c>
      <c r="B40" s="14" t="s">
        <v>252</v>
      </c>
      <c r="C40" s="6">
        <v>292671</v>
      </c>
      <c r="D40" s="6"/>
      <c r="E40" s="13"/>
      <c r="F40" s="6"/>
      <c r="G40" s="28"/>
      <c r="H40" s="28"/>
      <c r="I40" s="109">
        <f t="shared" si="8"/>
        <v>292671</v>
      </c>
    </row>
    <row r="41" spans="1:9" x14ac:dyDescent="0.25">
      <c r="A41" s="53" t="s">
        <v>356</v>
      </c>
      <c r="B41" s="74" t="s">
        <v>357</v>
      </c>
      <c r="C41" s="28">
        <v>43000</v>
      </c>
      <c r="D41" s="6"/>
      <c r="E41" s="147"/>
      <c r="F41" s="6"/>
      <c r="G41" s="28"/>
      <c r="H41" s="28"/>
      <c r="I41" s="109">
        <f t="shared" si="8"/>
        <v>43000</v>
      </c>
    </row>
    <row r="42" spans="1:9" x14ac:dyDescent="0.25">
      <c r="A42" s="53" t="s">
        <v>358</v>
      </c>
      <c r="B42" s="74" t="s">
        <v>359</v>
      </c>
      <c r="C42" s="28">
        <v>52482</v>
      </c>
      <c r="D42" s="6"/>
      <c r="E42" s="147"/>
      <c r="F42" s="6"/>
      <c r="G42" s="28"/>
      <c r="H42" s="28"/>
      <c r="I42" s="109">
        <f t="shared" si="8"/>
        <v>52482</v>
      </c>
    </row>
    <row r="43" spans="1:9" x14ac:dyDescent="0.25">
      <c r="A43" s="53" t="s">
        <v>367</v>
      </c>
      <c r="B43" s="14" t="s">
        <v>368</v>
      </c>
      <c r="C43" s="28">
        <f>116147+2350</f>
        <v>118497</v>
      </c>
      <c r="D43" s="6"/>
      <c r="E43" s="147"/>
      <c r="F43" s="6"/>
      <c r="G43" s="28"/>
      <c r="H43" s="28"/>
      <c r="I43" s="109">
        <f t="shared" si="8"/>
        <v>118497</v>
      </c>
    </row>
    <row r="44" spans="1:9" x14ac:dyDescent="0.25">
      <c r="A44" s="53" t="s">
        <v>369</v>
      </c>
      <c r="B44" s="14" t="s">
        <v>370</v>
      </c>
      <c r="C44" s="28">
        <f>69601-2350</f>
        <v>67251</v>
      </c>
      <c r="D44" s="6"/>
      <c r="E44" s="147"/>
      <c r="F44" s="6"/>
      <c r="G44" s="28"/>
      <c r="H44" s="28"/>
      <c r="I44" s="109">
        <f t="shared" si="8"/>
        <v>67251</v>
      </c>
    </row>
    <row r="45" spans="1:9" x14ac:dyDescent="0.25">
      <c r="A45" s="53" t="s">
        <v>371</v>
      </c>
      <c r="B45" s="14" t="s">
        <v>372</v>
      </c>
      <c r="C45" s="28">
        <v>80860</v>
      </c>
      <c r="D45" s="6"/>
      <c r="E45" s="147"/>
      <c r="F45" s="6"/>
      <c r="G45" s="28"/>
      <c r="H45" s="28"/>
      <c r="I45" s="109">
        <f t="shared" si="8"/>
        <v>80860</v>
      </c>
    </row>
    <row r="46" spans="1:9" x14ac:dyDescent="0.25">
      <c r="A46" s="53" t="s">
        <v>373</v>
      </c>
      <c r="B46" s="14" t="s">
        <v>374</v>
      </c>
      <c r="C46" s="28">
        <v>151083</v>
      </c>
      <c r="D46" s="6"/>
      <c r="E46" s="147"/>
      <c r="F46" s="6"/>
      <c r="G46" s="28"/>
      <c r="H46" s="28"/>
      <c r="I46" s="109">
        <f t="shared" si="8"/>
        <v>151083</v>
      </c>
    </row>
    <row r="47" spans="1:9" x14ac:dyDescent="0.25">
      <c r="A47" s="53" t="s">
        <v>375</v>
      </c>
      <c r="B47" s="14" t="s">
        <v>376</v>
      </c>
      <c r="C47" s="28">
        <v>65485</v>
      </c>
      <c r="D47" s="6"/>
      <c r="E47" s="147"/>
      <c r="F47" s="6"/>
      <c r="G47" s="28"/>
      <c r="H47" s="28"/>
      <c r="I47" s="109">
        <f t="shared" si="8"/>
        <v>65485</v>
      </c>
    </row>
    <row r="48" spans="1:9" x14ac:dyDescent="0.25">
      <c r="A48" s="53" t="s">
        <v>377</v>
      </c>
      <c r="B48" s="14" t="s">
        <v>378</v>
      </c>
      <c r="C48" s="28">
        <v>70564</v>
      </c>
      <c r="D48" s="6"/>
      <c r="E48" s="147"/>
      <c r="F48" s="6"/>
      <c r="G48" s="28"/>
      <c r="H48" s="28"/>
      <c r="I48" s="109">
        <f t="shared" si="8"/>
        <v>70564</v>
      </c>
    </row>
    <row r="49" spans="1:9" x14ac:dyDescent="0.25">
      <c r="A49" s="53" t="s">
        <v>379</v>
      </c>
      <c r="B49" s="14" t="s">
        <v>380</v>
      </c>
      <c r="C49" s="28">
        <v>60667</v>
      </c>
      <c r="D49" s="6"/>
      <c r="E49" s="147"/>
      <c r="F49" s="6"/>
      <c r="G49" s="28"/>
      <c r="H49" s="28"/>
      <c r="I49" s="109">
        <f t="shared" si="8"/>
        <v>60667</v>
      </c>
    </row>
    <row r="50" spans="1:9" x14ac:dyDescent="0.25">
      <c r="A50" s="53" t="s">
        <v>381</v>
      </c>
      <c r="B50" s="14" t="s">
        <v>382</v>
      </c>
      <c r="C50" s="28">
        <v>69443</v>
      </c>
      <c r="D50" s="6"/>
      <c r="E50" s="147"/>
      <c r="F50" s="6"/>
      <c r="G50" s="28"/>
      <c r="H50" s="28"/>
      <c r="I50" s="109">
        <f t="shared" si="8"/>
        <v>69443</v>
      </c>
    </row>
    <row r="51" spans="1:9" ht="41.65" customHeight="1" x14ac:dyDescent="0.25">
      <c r="A51" s="20" t="s">
        <v>463</v>
      </c>
      <c r="B51" s="70" t="s">
        <v>647</v>
      </c>
      <c r="C51" s="28">
        <v>2331974</v>
      </c>
      <c r="D51" s="6"/>
      <c r="E51" s="28"/>
      <c r="F51" s="6"/>
      <c r="G51" s="28"/>
      <c r="H51" s="28"/>
      <c r="I51" s="109">
        <f t="shared" si="8"/>
        <v>2331974</v>
      </c>
    </row>
    <row r="52" spans="1:9" x14ac:dyDescent="0.25">
      <c r="A52" s="104" t="s">
        <v>99</v>
      </c>
      <c r="B52" s="27" t="s">
        <v>100</v>
      </c>
      <c r="C52" s="148"/>
      <c r="D52" s="6">
        <v>206396</v>
      </c>
      <c r="E52" s="28"/>
      <c r="F52" s="16"/>
      <c r="G52" s="28"/>
      <c r="H52" s="28"/>
      <c r="I52" s="109">
        <f t="shared" si="8"/>
        <v>206396</v>
      </c>
    </row>
    <row r="53" spans="1:9" ht="30" x14ac:dyDescent="0.25">
      <c r="A53" s="66" t="s">
        <v>464</v>
      </c>
      <c r="B53" s="67" t="s">
        <v>465</v>
      </c>
      <c r="C53" s="6">
        <v>60000</v>
      </c>
      <c r="D53" s="6"/>
      <c r="E53" s="149"/>
      <c r="F53" s="6"/>
      <c r="G53" s="28"/>
      <c r="H53" s="28"/>
      <c r="I53" s="109">
        <f t="shared" si="8"/>
        <v>60000</v>
      </c>
    </row>
    <row r="54" spans="1:9" ht="45" x14ac:dyDescent="0.25">
      <c r="A54" s="66" t="s">
        <v>552</v>
      </c>
      <c r="B54" s="69" t="s">
        <v>634</v>
      </c>
      <c r="C54" s="6">
        <f>217000+10265</f>
        <v>227265</v>
      </c>
      <c r="D54" s="6"/>
      <c r="E54" s="149"/>
      <c r="F54" s="6"/>
      <c r="G54" s="28"/>
      <c r="H54" s="28"/>
      <c r="I54" s="109">
        <f>SUM(C54:H54)</f>
        <v>227265</v>
      </c>
    </row>
    <row r="55" spans="1:9" ht="39.75" customHeight="1" x14ac:dyDescent="0.25">
      <c r="A55" s="66" t="s">
        <v>553</v>
      </c>
      <c r="B55" s="69" t="s">
        <v>635</v>
      </c>
      <c r="C55" s="6">
        <v>360000</v>
      </c>
      <c r="D55" s="6"/>
      <c r="E55" s="149"/>
      <c r="F55" s="6"/>
      <c r="G55" s="28"/>
      <c r="H55" s="28"/>
      <c r="I55" s="109">
        <f>SUM(C55:H55)</f>
        <v>360000</v>
      </c>
    </row>
    <row r="56" spans="1:9" ht="30" x14ac:dyDescent="0.25">
      <c r="A56" s="66" t="s">
        <v>554</v>
      </c>
      <c r="B56" s="69" t="s">
        <v>648</v>
      </c>
      <c r="C56" s="6">
        <f>50000+12090</f>
        <v>62090</v>
      </c>
      <c r="D56" s="6"/>
      <c r="E56" s="149"/>
      <c r="F56" s="6"/>
      <c r="G56" s="28"/>
      <c r="H56" s="28"/>
      <c r="I56" s="109">
        <f t="shared" ref="I56:I62" si="9">SUM(C56:H56)</f>
        <v>62090</v>
      </c>
    </row>
    <row r="57" spans="1:9" ht="45" x14ac:dyDescent="0.25">
      <c r="A57" s="66" t="s">
        <v>555</v>
      </c>
      <c r="B57" s="69" t="s">
        <v>556</v>
      </c>
      <c r="C57" s="6">
        <v>60000</v>
      </c>
      <c r="D57" s="6"/>
      <c r="E57" s="149"/>
      <c r="F57" s="6"/>
      <c r="G57" s="28"/>
      <c r="H57" s="28"/>
      <c r="I57" s="109">
        <f t="shared" si="9"/>
        <v>60000</v>
      </c>
    </row>
    <row r="58" spans="1:9" ht="45" x14ac:dyDescent="0.25">
      <c r="A58" s="66" t="s">
        <v>557</v>
      </c>
      <c r="B58" s="69" t="s">
        <v>558</v>
      </c>
      <c r="C58" s="6">
        <v>100000</v>
      </c>
      <c r="D58" s="6"/>
      <c r="E58" s="149"/>
      <c r="F58" s="6"/>
      <c r="G58" s="28"/>
      <c r="H58" s="28"/>
      <c r="I58" s="109">
        <f t="shared" si="9"/>
        <v>100000</v>
      </c>
    </row>
    <row r="59" spans="1:9" x14ac:dyDescent="0.25">
      <c r="A59" s="66" t="s">
        <v>559</v>
      </c>
      <c r="B59" s="69" t="s">
        <v>560</v>
      </c>
      <c r="C59" s="6">
        <v>377000</v>
      </c>
      <c r="D59" s="6"/>
      <c r="E59" s="149"/>
      <c r="F59" s="6"/>
      <c r="G59" s="28"/>
      <c r="H59" s="28"/>
      <c r="I59" s="109">
        <f t="shared" si="9"/>
        <v>377000</v>
      </c>
    </row>
    <row r="60" spans="1:9" ht="30" x14ac:dyDescent="0.25">
      <c r="A60" s="66" t="s">
        <v>561</v>
      </c>
      <c r="B60" s="69" t="s">
        <v>562</v>
      </c>
      <c r="C60" s="6">
        <v>54839</v>
      </c>
      <c r="D60" s="6"/>
      <c r="E60" s="149"/>
      <c r="F60" s="6"/>
      <c r="G60" s="28"/>
      <c r="H60" s="28"/>
      <c r="I60" s="109">
        <f t="shared" si="9"/>
        <v>54839</v>
      </c>
    </row>
    <row r="61" spans="1:9" ht="45" x14ac:dyDescent="0.25">
      <c r="A61" s="66" t="s">
        <v>563</v>
      </c>
      <c r="B61" s="10" t="s">
        <v>649</v>
      </c>
      <c r="C61" s="6">
        <v>30250</v>
      </c>
      <c r="D61" s="6"/>
      <c r="E61" s="149"/>
      <c r="F61" s="6"/>
      <c r="G61" s="28"/>
      <c r="H61" s="28"/>
      <c r="I61" s="109">
        <f t="shared" si="9"/>
        <v>30250</v>
      </c>
    </row>
    <row r="62" spans="1:9" ht="45" x14ac:dyDescent="0.25">
      <c r="A62" s="66" t="s">
        <v>564</v>
      </c>
      <c r="B62" s="150" t="s">
        <v>565</v>
      </c>
      <c r="C62" s="6">
        <v>24200</v>
      </c>
      <c r="D62" s="6"/>
      <c r="E62" s="149"/>
      <c r="F62" s="6"/>
      <c r="G62" s="28"/>
      <c r="H62" s="28"/>
      <c r="I62" s="109">
        <f t="shared" si="9"/>
        <v>24200</v>
      </c>
    </row>
    <row r="63" spans="1:9" ht="30" x14ac:dyDescent="0.25">
      <c r="A63" s="66" t="s">
        <v>566</v>
      </c>
      <c r="B63" s="10" t="s">
        <v>567</v>
      </c>
      <c r="C63" s="6">
        <v>18150</v>
      </c>
      <c r="D63" s="6"/>
      <c r="E63" s="149"/>
      <c r="F63" s="6"/>
      <c r="G63" s="28"/>
      <c r="H63" s="28"/>
      <c r="I63" s="109">
        <f>SUM(C63:H63)</f>
        <v>18150</v>
      </c>
    </row>
    <row r="64" spans="1:9" ht="45" x14ac:dyDescent="0.25">
      <c r="A64" s="66" t="s">
        <v>568</v>
      </c>
      <c r="B64" s="10" t="s">
        <v>569</v>
      </c>
      <c r="C64" s="6">
        <v>18150</v>
      </c>
      <c r="D64" s="6"/>
      <c r="E64" s="149"/>
      <c r="F64" s="6"/>
      <c r="G64" s="28"/>
      <c r="H64" s="28"/>
      <c r="I64" s="109">
        <f t="shared" si="8"/>
        <v>18150</v>
      </c>
    </row>
    <row r="65" spans="1:9" x14ac:dyDescent="0.25">
      <c r="A65" s="61" t="s">
        <v>490</v>
      </c>
      <c r="B65" s="81" t="s">
        <v>489</v>
      </c>
      <c r="C65" s="32">
        <f>C66+C67</f>
        <v>257285</v>
      </c>
      <c r="D65" s="32">
        <f t="shared" ref="D65:I65" si="10">D66+D67</f>
        <v>0</v>
      </c>
      <c r="E65" s="32">
        <f t="shared" si="10"/>
        <v>0</v>
      </c>
      <c r="F65" s="32">
        <f t="shared" si="10"/>
        <v>0</v>
      </c>
      <c r="G65" s="32">
        <f t="shared" si="10"/>
        <v>1222949</v>
      </c>
      <c r="H65" s="32">
        <f t="shared" si="10"/>
        <v>0</v>
      </c>
      <c r="I65" s="32">
        <f t="shared" si="10"/>
        <v>1480234</v>
      </c>
    </row>
    <row r="66" spans="1:9" x14ac:dyDescent="0.25">
      <c r="A66" s="54" t="s">
        <v>190</v>
      </c>
      <c r="B66" s="46" t="s">
        <v>456</v>
      </c>
      <c r="C66" s="28">
        <v>257285</v>
      </c>
      <c r="D66" s="28"/>
      <c r="E66" s="28"/>
      <c r="F66" s="28"/>
      <c r="G66" s="28"/>
      <c r="H66" s="28"/>
      <c r="I66" s="109">
        <f t="shared" ref="I66:I125" si="11">SUM(C66:H66)</f>
        <v>257285</v>
      </c>
    </row>
    <row r="67" spans="1:9" ht="30.75" thickBot="1" x14ac:dyDescent="0.3">
      <c r="A67" s="20" t="s">
        <v>253</v>
      </c>
      <c r="B67" s="45" t="s">
        <v>653</v>
      </c>
      <c r="C67" s="31"/>
      <c r="D67" s="31"/>
      <c r="E67" s="31"/>
      <c r="F67" s="31"/>
      <c r="G67" s="30">
        <v>1222949</v>
      </c>
      <c r="H67" s="31"/>
      <c r="I67" s="109">
        <f t="shared" si="11"/>
        <v>1222949</v>
      </c>
    </row>
    <row r="68" spans="1:9" ht="15.75" thickBot="1" x14ac:dyDescent="0.3">
      <c r="A68" s="113" t="s">
        <v>9</v>
      </c>
      <c r="B68" s="151" t="s">
        <v>26</v>
      </c>
      <c r="C68" s="99">
        <f t="shared" ref="C68:H68" si="12">C69+C71+C83+C85</f>
        <v>1469741</v>
      </c>
      <c r="D68" s="99">
        <f t="shared" si="12"/>
        <v>959626</v>
      </c>
      <c r="E68" s="99">
        <f t="shared" si="12"/>
        <v>0</v>
      </c>
      <c r="F68" s="99">
        <f t="shared" si="12"/>
        <v>169109</v>
      </c>
      <c r="G68" s="99">
        <f t="shared" si="12"/>
        <v>0</v>
      </c>
      <c r="H68" s="99">
        <f t="shared" si="12"/>
        <v>0</v>
      </c>
      <c r="I68" s="100">
        <f t="shared" si="11"/>
        <v>2598476</v>
      </c>
    </row>
    <row r="69" spans="1:9" x14ac:dyDescent="0.25">
      <c r="A69" s="129" t="s">
        <v>27</v>
      </c>
      <c r="B69" s="152" t="s">
        <v>28</v>
      </c>
      <c r="C69" s="33">
        <f t="shared" ref="C69:H69" si="13">SUM(C70:C70)</f>
        <v>9608</v>
      </c>
      <c r="D69" s="33">
        <f t="shared" si="13"/>
        <v>223035</v>
      </c>
      <c r="E69" s="33">
        <f t="shared" si="13"/>
        <v>0</v>
      </c>
      <c r="F69" s="33">
        <f t="shared" si="13"/>
        <v>72149</v>
      </c>
      <c r="G69" s="33">
        <f t="shared" si="13"/>
        <v>0</v>
      </c>
      <c r="H69" s="33">
        <f t="shared" si="13"/>
        <v>0</v>
      </c>
      <c r="I69" s="102">
        <f t="shared" si="11"/>
        <v>304792</v>
      </c>
    </row>
    <row r="70" spans="1:9" ht="25.9" customHeight="1" x14ac:dyDescent="0.25">
      <c r="A70" s="104" t="s">
        <v>101</v>
      </c>
      <c r="B70" s="24" t="s">
        <v>197</v>
      </c>
      <c r="C70" s="28">
        <v>9608</v>
      </c>
      <c r="D70" s="6">
        <v>223035</v>
      </c>
      <c r="E70" s="6"/>
      <c r="F70" s="28">
        <v>72149</v>
      </c>
      <c r="G70" s="28"/>
      <c r="H70" s="6"/>
      <c r="I70" s="109">
        <f t="shared" si="11"/>
        <v>304792</v>
      </c>
    </row>
    <row r="71" spans="1:9" x14ac:dyDescent="0.25">
      <c r="A71" s="134" t="s">
        <v>2</v>
      </c>
      <c r="B71" s="120" t="s">
        <v>29</v>
      </c>
      <c r="C71" s="48">
        <f t="shared" ref="C71:H71" si="14">SUM(C72:C82)</f>
        <v>1364419</v>
      </c>
      <c r="D71" s="48">
        <f t="shared" si="14"/>
        <v>736591</v>
      </c>
      <c r="E71" s="48">
        <f t="shared" si="14"/>
        <v>0</v>
      </c>
      <c r="F71" s="48">
        <f t="shared" si="14"/>
        <v>96960</v>
      </c>
      <c r="G71" s="48">
        <f t="shared" si="14"/>
        <v>0</v>
      </c>
      <c r="H71" s="48">
        <f t="shared" si="14"/>
        <v>0</v>
      </c>
      <c r="I71" s="109">
        <f t="shared" si="11"/>
        <v>2197970</v>
      </c>
    </row>
    <row r="72" spans="1:9" x14ac:dyDescent="0.25">
      <c r="A72" s="104" t="s">
        <v>102</v>
      </c>
      <c r="B72" s="27" t="s">
        <v>570</v>
      </c>
      <c r="C72" s="50">
        <v>367894</v>
      </c>
      <c r="D72" s="6">
        <v>64085</v>
      </c>
      <c r="E72" s="6"/>
      <c r="F72" s="29"/>
      <c r="G72" s="28"/>
      <c r="H72" s="6"/>
      <c r="I72" s="109">
        <f t="shared" si="11"/>
        <v>431979</v>
      </c>
    </row>
    <row r="73" spans="1:9" x14ac:dyDescent="0.25">
      <c r="A73" s="153" t="s">
        <v>383</v>
      </c>
      <c r="B73" s="27" t="s">
        <v>655</v>
      </c>
      <c r="C73" s="49">
        <v>21347</v>
      </c>
      <c r="D73" s="25"/>
      <c r="E73" s="25"/>
      <c r="F73" s="25"/>
      <c r="G73" s="25"/>
      <c r="H73" s="25"/>
      <c r="I73" s="109">
        <f t="shared" si="11"/>
        <v>21347</v>
      </c>
    </row>
    <row r="74" spans="1:9" x14ac:dyDescent="0.25">
      <c r="A74" s="153" t="s">
        <v>384</v>
      </c>
      <c r="B74" s="27" t="s">
        <v>656</v>
      </c>
      <c r="C74" s="49">
        <v>11311</v>
      </c>
      <c r="D74" s="25"/>
      <c r="E74" s="25"/>
      <c r="F74" s="25"/>
      <c r="G74" s="25"/>
      <c r="H74" s="25"/>
      <c r="I74" s="109">
        <f t="shared" si="11"/>
        <v>11311</v>
      </c>
    </row>
    <row r="75" spans="1:9" x14ac:dyDescent="0.25">
      <c r="A75" s="153" t="s">
        <v>385</v>
      </c>
      <c r="B75" s="27" t="s">
        <v>657</v>
      </c>
      <c r="C75" s="49">
        <f>56981-1000</f>
        <v>55981</v>
      </c>
      <c r="D75" s="25"/>
      <c r="E75" s="25"/>
      <c r="F75" s="25"/>
      <c r="G75" s="25"/>
      <c r="H75" s="25"/>
      <c r="I75" s="109">
        <f t="shared" si="11"/>
        <v>55981</v>
      </c>
    </row>
    <row r="76" spans="1:9" x14ac:dyDescent="0.25">
      <c r="A76" s="153" t="s">
        <v>386</v>
      </c>
      <c r="B76" s="27" t="s">
        <v>658</v>
      </c>
      <c r="C76" s="49">
        <v>7450</v>
      </c>
      <c r="D76" s="25"/>
      <c r="E76" s="25"/>
      <c r="F76" s="25"/>
      <c r="G76" s="25"/>
      <c r="H76" s="25"/>
      <c r="I76" s="109">
        <f t="shared" si="11"/>
        <v>7450</v>
      </c>
    </row>
    <row r="77" spans="1:9" x14ac:dyDescent="0.25">
      <c r="A77" s="153" t="s">
        <v>387</v>
      </c>
      <c r="B77" s="27" t="s">
        <v>659</v>
      </c>
      <c r="C77" s="49">
        <v>6394</v>
      </c>
      <c r="D77" s="25"/>
      <c r="E77" s="25"/>
      <c r="F77" s="25"/>
      <c r="G77" s="25"/>
      <c r="H77" s="25"/>
      <c r="I77" s="109">
        <f t="shared" si="11"/>
        <v>6394</v>
      </c>
    </row>
    <row r="78" spans="1:9" x14ac:dyDescent="0.25">
      <c r="A78" s="153" t="s">
        <v>388</v>
      </c>
      <c r="B78" s="27" t="s">
        <v>660</v>
      </c>
      <c r="C78" s="49">
        <v>8782</v>
      </c>
      <c r="D78" s="25"/>
      <c r="E78" s="25"/>
      <c r="F78" s="25"/>
      <c r="G78" s="25"/>
      <c r="H78" s="25"/>
      <c r="I78" s="109">
        <f t="shared" si="11"/>
        <v>8782</v>
      </c>
    </row>
    <row r="79" spans="1:9" x14ac:dyDescent="0.25">
      <c r="A79" s="153" t="s">
        <v>389</v>
      </c>
      <c r="B79" s="27" t="s">
        <v>661</v>
      </c>
      <c r="C79" s="49">
        <v>15529</v>
      </c>
      <c r="D79" s="25"/>
      <c r="E79" s="25"/>
      <c r="F79" s="25"/>
      <c r="G79" s="25"/>
      <c r="H79" s="25"/>
      <c r="I79" s="109">
        <f t="shared" si="11"/>
        <v>15529</v>
      </c>
    </row>
    <row r="80" spans="1:9" ht="30" x14ac:dyDescent="0.25">
      <c r="A80" s="153" t="s">
        <v>466</v>
      </c>
      <c r="B80" s="27" t="s">
        <v>662</v>
      </c>
      <c r="C80" s="49"/>
      <c r="D80" s="25">
        <v>672506</v>
      </c>
      <c r="E80" s="25"/>
      <c r="F80" s="25"/>
      <c r="G80" s="25"/>
      <c r="H80" s="25"/>
      <c r="I80" s="109">
        <f t="shared" si="11"/>
        <v>672506</v>
      </c>
    </row>
    <row r="81" spans="1:9" x14ac:dyDescent="0.25">
      <c r="A81" s="153" t="s">
        <v>467</v>
      </c>
      <c r="B81" s="27" t="s">
        <v>663</v>
      </c>
      <c r="C81" s="49"/>
      <c r="D81" s="25"/>
      <c r="E81" s="25"/>
      <c r="F81" s="25">
        <f>96960+90500-90500</f>
        <v>96960</v>
      </c>
      <c r="G81" s="25"/>
      <c r="H81" s="25"/>
      <c r="I81" s="109">
        <f t="shared" si="11"/>
        <v>96960</v>
      </c>
    </row>
    <row r="82" spans="1:9" ht="45" x14ac:dyDescent="0.25">
      <c r="A82" s="153" t="s">
        <v>468</v>
      </c>
      <c r="B82" s="69" t="s">
        <v>654</v>
      </c>
      <c r="C82" s="49">
        <f>847527+22204</f>
        <v>869731</v>
      </c>
      <c r="D82" s="25"/>
      <c r="E82" s="25"/>
      <c r="F82" s="25"/>
      <c r="G82" s="25"/>
      <c r="H82" s="25"/>
      <c r="I82" s="109">
        <f t="shared" si="11"/>
        <v>869731</v>
      </c>
    </row>
    <row r="83" spans="1:9" s="2" customFormat="1" ht="28.5" x14ac:dyDescent="0.2">
      <c r="A83" s="134" t="s">
        <v>103</v>
      </c>
      <c r="B83" s="152" t="s">
        <v>104</v>
      </c>
      <c r="C83" s="154">
        <f t="shared" ref="C83:H83" si="15">SUM(C84:C84)</f>
        <v>67000</v>
      </c>
      <c r="D83" s="154">
        <f t="shared" si="15"/>
        <v>0</v>
      </c>
      <c r="E83" s="154">
        <f t="shared" si="15"/>
        <v>0</v>
      </c>
      <c r="F83" s="154">
        <f t="shared" si="15"/>
        <v>0</v>
      </c>
      <c r="G83" s="154">
        <f t="shared" si="15"/>
        <v>0</v>
      </c>
      <c r="H83" s="154">
        <f t="shared" si="15"/>
        <v>0</v>
      </c>
      <c r="I83" s="109">
        <f t="shared" si="11"/>
        <v>67000</v>
      </c>
    </row>
    <row r="84" spans="1:9" s="2" customFormat="1" ht="30" x14ac:dyDescent="0.25">
      <c r="A84" s="53" t="s">
        <v>469</v>
      </c>
      <c r="B84" s="70" t="s">
        <v>636</v>
      </c>
      <c r="C84" s="25">
        <v>67000</v>
      </c>
      <c r="D84" s="33"/>
      <c r="E84" s="33"/>
      <c r="F84" s="106"/>
      <c r="G84" s="32"/>
      <c r="H84" s="33"/>
      <c r="I84" s="109">
        <f t="shared" si="11"/>
        <v>67000</v>
      </c>
    </row>
    <row r="85" spans="1:9" ht="29.25" x14ac:dyDescent="0.25">
      <c r="A85" s="129" t="s">
        <v>105</v>
      </c>
      <c r="B85" s="152" t="s">
        <v>106</v>
      </c>
      <c r="C85" s="154">
        <f t="shared" ref="C85:H85" si="16">SUM(C86:C86)</f>
        <v>28714</v>
      </c>
      <c r="D85" s="154">
        <f t="shared" si="16"/>
        <v>0</v>
      </c>
      <c r="E85" s="154">
        <f t="shared" si="16"/>
        <v>0</v>
      </c>
      <c r="F85" s="154">
        <f t="shared" si="16"/>
        <v>0</v>
      </c>
      <c r="G85" s="154">
        <f t="shared" si="16"/>
        <v>0</v>
      </c>
      <c r="H85" s="154">
        <f t="shared" si="16"/>
        <v>0</v>
      </c>
      <c r="I85" s="109">
        <f t="shared" si="11"/>
        <v>28714</v>
      </c>
    </row>
    <row r="86" spans="1:9" ht="15.75" thickBot="1" x14ac:dyDescent="0.3">
      <c r="A86" s="104" t="s">
        <v>176</v>
      </c>
      <c r="B86" s="118" t="s">
        <v>106</v>
      </c>
      <c r="C86" s="49">
        <v>28714</v>
      </c>
      <c r="D86" s="154"/>
      <c r="E86" s="154"/>
      <c r="F86" s="154"/>
      <c r="G86" s="154"/>
      <c r="H86" s="154"/>
      <c r="I86" s="109">
        <f t="shared" si="11"/>
        <v>28714</v>
      </c>
    </row>
    <row r="87" spans="1:9" ht="30" thickBot="1" x14ac:dyDescent="0.3">
      <c r="A87" s="113" t="s">
        <v>3</v>
      </c>
      <c r="B87" s="151" t="s">
        <v>30</v>
      </c>
      <c r="C87" s="71">
        <f>SUM(C88:C89,C100,C103)</f>
        <v>14294945</v>
      </c>
      <c r="D87" s="71">
        <f t="shared" ref="D87:I87" si="17">SUM(D88:D89,D100,D103)</f>
        <v>3005117</v>
      </c>
      <c r="E87" s="71">
        <f t="shared" si="17"/>
        <v>0</v>
      </c>
      <c r="F87" s="71">
        <f t="shared" si="17"/>
        <v>441237</v>
      </c>
      <c r="G87" s="71">
        <f t="shared" si="17"/>
        <v>0</v>
      </c>
      <c r="H87" s="71">
        <f t="shared" si="17"/>
        <v>0</v>
      </c>
      <c r="I87" s="87">
        <f t="shared" si="17"/>
        <v>17741299</v>
      </c>
    </row>
    <row r="88" spans="1:9" x14ac:dyDescent="0.25">
      <c r="A88" s="134" t="s">
        <v>177</v>
      </c>
      <c r="B88" s="120" t="s">
        <v>107</v>
      </c>
      <c r="C88" s="48">
        <f>372550-5954</f>
        <v>366596</v>
      </c>
      <c r="D88" s="6"/>
      <c r="E88" s="28"/>
      <c r="F88" s="6"/>
      <c r="G88" s="28"/>
      <c r="H88" s="28"/>
      <c r="I88" s="109">
        <f t="shared" si="11"/>
        <v>366596</v>
      </c>
    </row>
    <row r="89" spans="1:9" x14ac:dyDescent="0.25">
      <c r="A89" s="134" t="s">
        <v>31</v>
      </c>
      <c r="B89" s="120" t="s">
        <v>32</v>
      </c>
      <c r="C89" s="72">
        <f t="shared" ref="C89:H89" si="18">SUM(C90:C99)</f>
        <v>349846</v>
      </c>
      <c r="D89" s="72">
        <f t="shared" si="18"/>
        <v>392167</v>
      </c>
      <c r="E89" s="72">
        <f t="shared" si="18"/>
        <v>0</v>
      </c>
      <c r="F89" s="72">
        <f t="shared" si="18"/>
        <v>63198</v>
      </c>
      <c r="G89" s="72">
        <f t="shared" si="18"/>
        <v>0</v>
      </c>
      <c r="H89" s="72">
        <f t="shared" si="18"/>
        <v>0</v>
      </c>
      <c r="I89" s="109">
        <f t="shared" si="11"/>
        <v>805211</v>
      </c>
    </row>
    <row r="90" spans="1:9" x14ac:dyDescent="0.25">
      <c r="A90" s="53" t="s">
        <v>390</v>
      </c>
      <c r="B90" s="27" t="s">
        <v>664</v>
      </c>
      <c r="C90" s="50">
        <v>26067</v>
      </c>
      <c r="D90" s="6"/>
      <c r="E90" s="6"/>
      <c r="F90" s="149"/>
      <c r="G90" s="28"/>
      <c r="H90" s="6"/>
      <c r="I90" s="109">
        <f t="shared" si="11"/>
        <v>26067</v>
      </c>
    </row>
    <row r="91" spans="1:9" x14ac:dyDescent="0.25">
      <c r="A91" s="53" t="s">
        <v>391</v>
      </c>
      <c r="B91" s="27" t="s">
        <v>665</v>
      </c>
      <c r="C91" s="50">
        <v>15594</v>
      </c>
      <c r="D91" s="6"/>
      <c r="E91" s="6"/>
      <c r="F91" s="149"/>
      <c r="G91" s="28"/>
      <c r="H91" s="6"/>
      <c r="I91" s="109">
        <f t="shared" si="11"/>
        <v>15594</v>
      </c>
    </row>
    <row r="92" spans="1:9" x14ac:dyDescent="0.25">
      <c r="A92" s="53" t="s">
        <v>392</v>
      </c>
      <c r="B92" s="27" t="s">
        <v>666</v>
      </c>
      <c r="C92" s="50">
        <f>62579+1000</f>
        <v>63579</v>
      </c>
      <c r="D92" s="6"/>
      <c r="E92" s="6"/>
      <c r="F92" s="149"/>
      <c r="G92" s="28"/>
      <c r="H92" s="6"/>
      <c r="I92" s="109">
        <f t="shared" si="11"/>
        <v>63579</v>
      </c>
    </row>
    <row r="93" spans="1:9" x14ac:dyDescent="0.25">
      <c r="A93" s="53" t="s">
        <v>393</v>
      </c>
      <c r="B93" s="27" t="s">
        <v>667</v>
      </c>
      <c r="C93" s="50">
        <f>16030+120000-728</f>
        <v>135302</v>
      </c>
      <c r="D93" s="6"/>
      <c r="E93" s="6"/>
      <c r="F93" s="149"/>
      <c r="G93" s="28"/>
      <c r="H93" s="6"/>
      <c r="I93" s="109">
        <f t="shared" si="11"/>
        <v>135302</v>
      </c>
    </row>
    <row r="94" spans="1:9" x14ac:dyDescent="0.25">
      <c r="A94" s="53" t="s">
        <v>394</v>
      </c>
      <c r="B94" s="27" t="s">
        <v>668</v>
      </c>
      <c r="C94" s="50">
        <v>10148</v>
      </c>
      <c r="D94" s="6"/>
      <c r="E94" s="6"/>
      <c r="F94" s="149"/>
      <c r="G94" s="28"/>
      <c r="H94" s="6"/>
      <c r="I94" s="109">
        <f t="shared" si="11"/>
        <v>10148</v>
      </c>
    </row>
    <row r="95" spans="1:9" x14ac:dyDescent="0.25">
      <c r="A95" s="53" t="s">
        <v>395</v>
      </c>
      <c r="B95" s="27" t="s">
        <v>669</v>
      </c>
      <c r="C95" s="50">
        <v>11656</v>
      </c>
      <c r="D95" s="6"/>
      <c r="E95" s="6"/>
      <c r="F95" s="149"/>
      <c r="G95" s="28"/>
      <c r="H95" s="6"/>
      <c r="I95" s="109">
        <f t="shared" si="11"/>
        <v>11656</v>
      </c>
    </row>
    <row r="96" spans="1:9" x14ac:dyDescent="0.25">
      <c r="A96" s="53" t="s">
        <v>396</v>
      </c>
      <c r="B96" s="27" t="s">
        <v>670</v>
      </c>
      <c r="C96" s="50">
        <v>7500</v>
      </c>
      <c r="D96" s="6"/>
      <c r="E96" s="6"/>
      <c r="F96" s="149"/>
      <c r="G96" s="28"/>
      <c r="H96" s="6"/>
      <c r="I96" s="109">
        <f t="shared" si="11"/>
        <v>7500</v>
      </c>
    </row>
    <row r="97" spans="1:9" ht="30" x14ac:dyDescent="0.25">
      <c r="A97" s="53" t="s">
        <v>470</v>
      </c>
      <c r="B97" s="27" t="s">
        <v>671</v>
      </c>
      <c r="C97" s="50"/>
      <c r="D97" s="6">
        <v>392167</v>
      </c>
      <c r="E97" s="6"/>
      <c r="F97" s="149"/>
      <c r="G97" s="28"/>
      <c r="H97" s="6"/>
      <c r="I97" s="109">
        <f t="shared" si="11"/>
        <v>392167</v>
      </c>
    </row>
    <row r="98" spans="1:9" x14ac:dyDescent="0.25">
      <c r="A98" s="53" t="s">
        <v>471</v>
      </c>
      <c r="B98" s="27" t="s">
        <v>672</v>
      </c>
      <c r="C98" s="50"/>
      <c r="D98" s="6"/>
      <c r="E98" s="6"/>
      <c r="F98" s="149">
        <v>63198</v>
      </c>
      <c r="G98" s="28"/>
      <c r="H98" s="6"/>
      <c r="I98" s="109">
        <f>SUM(C98:H98)</f>
        <v>63198</v>
      </c>
    </row>
    <row r="99" spans="1:9" ht="30" x14ac:dyDescent="0.25">
      <c r="A99" s="53" t="s">
        <v>642</v>
      </c>
      <c r="B99" s="27" t="s">
        <v>643</v>
      </c>
      <c r="C99" s="50">
        <v>80000</v>
      </c>
      <c r="D99" s="6"/>
      <c r="E99" s="6"/>
      <c r="F99" s="149"/>
      <c r="G99" s="28"/>
      <c r="H99" s="6"/>
      <c r="I99" s="109">
        <f t="shared" si="11"/>
        <v>80000</v>
      </c>
    </row>
    <row r="100" spans="1:9" s="2" customFormat="1" ht="14.25" x14ac:dyDescent="0.2">
      <c r="A100" s="86" t="s">
        <v>498</v>
      </c>
      <c r="B100" s="85" t="s">
        <v>33</v>
      </c>
      <c r="C100" s="48">
        <f>C101+C102</f>
        <v>1293814</v>
      </c>
      <c r="D100" s="48">
        <f t="shared" ref="D100:I100" si="19">D101+D102</f>
        <v>0</v>
      </c>
      <c r="E100" s="48">
        <f t="shared" si="19"/>
        <v>0</v>
      </c>
      <c r="F100" s="48">
        <f t="shared" si="19"/>
        <v>0</v>
      </c>
      <c r="G100" s="48">
        <f t="shared" si="19"/>
        <v>0</v>
      </c>
      <c r="H100" s="48">
        <f t="shared" si="19"/>
        <v>0</v>
      </c>
      <c r="I100" s="122">
        <f t="shared" si="19"/>
        <v>1293814</v>
      </c>
    </row>
    <row r="101" spans="1:9" x14ac:dyDescent="0.25">
      <c r="A101" s="53" t="s">
        <v>354</v>
      </c>
      <c r="B101" s="27" t="s">
        <v>33</v>
      </c>
      <c r="C101" s="50">
        <f>965492-11508-24000</f>
        <v>929984</v>
      </c>
      <c r="D101" s="6"/>
      <c r="E101" s="6"/>
      <c r="F101" s="28"/>
      <c r="G101" s="28"/>
      <c r="H101" s="6"/>
      <c r="I101" s="109">
        <f t="shared" si="11"/>
        <v>929984</v>
      </c>
    </row>
    <row r="102" spans="1:9" x14ac:dyDescent="0.25">
      <c r="A102" s="53" t="s">
        <v>352</v>
      </c>
      <c r="B102" s="27" t="s">
        <v>673</v>
      </c>
      <c r="C102" s="50">
        <v>363830</v>
      </c>
      <c r="D102" s="28"/>
      <c r="E102" s="28"/>
      <c r="F102" s="28"/>
      <c r="G102" s="28"/>
      <c r="H102" s="28"/>
      <c r="I102" s="109">
        <f t="shared" si="11"/>
        <v>363830</v>
      </c>
    </row>
    <row r="103" spans="1:9" ht="29.25" x14ac:dyDescent="0.25">
      <c r="A103" s="134" t="s">
        <v>34</v>
      </c>
      <c r="B103" s="120" t="s">
        <v>35</v>
      </c>
      <c r="C103" s="52">
        <f t="shared" ref="C103:H103" si="20">SUM(C104:C137)</f>
        <v>12284689</v>
      </c>
      <c r="D103" s="48">
        <f t="shared" si="20"/>
        <v>2612950</v>
      </c>
      <c r="E103" s="48">
        <f t="shared" si="20"/>
        <v>0</v>
      </c>
      <c r="F103" s="48">
        <f t="shared" si="20"/>
        <v>378039</v>
      </c>
      <c r="G103" s="48">
        <f t="shared" si="20"/>
        <v>0</v>
      </c>
      <c r="H103" s="48">
        <f t="shared" si="20"/>
        <v>0</v>
      </c>
      <c r="I103" s="109">
        <f t="shared" si="11"/>
        <v>15275678</v>
      </c>
    </row>
    <row r="104" spans="1:9" x14ac:dyDescent="0.25">
      <c r="A104" s="104" t="s">
        <v>108</v>
      </c>
      <c r="B104" s="27" t="s">
        <v>158</v>
      </c>
      <c r="C104" s="156"/>
      <c r="D104" s="6">
        <v>2573838</v>
      </c>
      <c r="E104" s="6"/>
      <c r="F104" s="117">
        <f>40611+104983</f>
        <v>145594</v>
      </c>
      <c r="G104" s="28"/>
      <c r="H104" s="6"/>
      <c r="I104" s="109">
        <f t="shared" si="11"/>
        <v>2719432</v>
      </c>
    </row>
    <row r="105" spans="1:9" x14ac:dyDescent="0.25">
      <c r="A105" s="104" t="s">
        <v>109</v>
      </c>
      <c r="B105" s="27" t="s">
        <v>159</v>
      </c>
      <c r="C105" s="156"/>
      <c r="D105" s="6"/>
      <c r="E105" s="6"/>
      <c r="F105" s="117">
        <v>232445</v>
      </c>
      <c r="G105" s="28"/>
      <c r="H105" s="6"/>
      <c r="I105" s="109">
        <f t="shared" si="11"/>
        <v>232445</v>
      </c>
    </row>
    <row r="106" spans="1:9" x14ac:dyDescent="0.25">
      <c r="A106" s="104" t="s">
        <v>110</v>
      </c>
      <c r="B106" s="27" t="s">
        <v>254</v>
      </c>
      <c r="C106" s="50">
        <v>16205</v>
      </c>
      <c r="D106" s="6">
        <v>39112</v>
      </c>
      <c r="E106" s="28"/>
      <c r="F106" s="28"/>
      <c r="G106" s="28"/>
      <c r="H106" s="28"/>
      <c r="I106" s="109">
        <f t="shared" si="11"/>
        <v>55317</v>
      </c>
    </row>
    <row r="107" spans="1:9" ht="30" x14ac:dyDescent="0.25">
      <c r="A107" s="104" t="s">
        <v>111</v>
      </c>
      <c r="B107" s="27" t="s">
        <v>255</v>
      </c>
      <c r="C107" s="49">
        <v>89700</v>
      </c>
      <c r="D107" s="6"/>
      <c r="E107" s="28"/>
      <c r="F107" s="6"/>
      <c r="G107" s="28"/>
      <c r="H107" s="28"/>
      <c r="I107" s="109">
        <f t="shared" si="11"/>
        <v>89700</v>
      </c>
    </row>
    <row r="108" spans="1:9" ht="30" x14ac:dyDescent="0.25">
      <c r="A108" s="104" t="s">
        <v>112</v>
      </c>
      <c r="B108" s="118" t="s">
        <v>256</v>
      </c>
      <c r="C108" s="49">
        <v>82000</v>
      </c>
      <c r="D108" s="6"/>
      <c r="E108" s="28"/>
      <c r="F108" s="28"/>
      <c r="G108" s="28"/>
      <c r="H108" s="28"/>
      <c r="I108" s="109">
        <f t="shared" si="11"/>
        <v>82000</v>
      </c>
    </row>
    <row r="109" spans="1:9" x14ac:dyDescent="0.25">
      <c r="A109" s="104" t="s">
        <v>113</v>
      </c>
      <c r="B109" s="157" t="s">
        <v>257</v>
      </c>
      <c r="C109" s="50">
        <v>7500</v>
      </c>
      <c r="D109" s="28"/>
      <c r="E109" s="28"/>
      <c r="F109" s="28"/>
      <c r="G109" s="28"/>
      <c r="H109" s="28"/>
      <c r="I109" s="109">
        <f t="shared" si="11"/>
        <v>7500</v>
      </c>
    </row>
    <row r="110" spans="1:9" x14ac:dyDescent="0.25">
      <c r="A110" s="104" t="s">
        <v>114</v>
      </c>
      <c r="B110" s="27" t="s">
        <v>258</v>
      </c>
      <c r="C110" s="22">
        <v>3000</v>
      </c>
      <c r="D110" s="6"/>
      <c r="E110" s="28"/>
      <c r="F110" s="6"/>
      <c r="G110" s="28"/>
      <c r="H110" s="28"/>
      <c r="I110" s="109">
        <f t="shared" si="11"/>
        <v>3000</v>
      </c>
    </row>
    <row r="111" spans="1:9" x14ac:dyDescent="0.25">
      <c r="A111" s="53" t="s">
        <v>571</v>
      </c>
      <c r="B111" s="11" t="s">
        <v>572</v>
      </c>
      <c r="C111" s="22">
        <v>91620</v>
      </c>
      <c r="D111" s="6"/>
      <c r="E111" s="6"/>
      <c r="F111" s="6"/>
      <c r="G111" s="28"/>
      <c r="H111" s="6"/>
      <c r="I111" s="109">
        <f>SUM(C111:H111)</f>
        <v>91620</v>
      </c>
    </row>
    <row r="112" spans="1:9" x14ac:dyDescent="0.25">
      <c r="A112" s="53" t="s">
        <v>573</v>
      </c>
      <c r="B112" s="11" t="s">
        <v>574</v>
      </c>
      <c r="C112" s="22">
        <v>45486</v>
      </c>
      <c r="D112" s="6"/>
      <c r="E112" s="6"/>
      <c r="F112" s="6"/>
      <c r="G112" s="28"/>
      <c r="H112" s="6"/>
      <c r="I112" s="109">
        <f>SUM(C112:H112)</f>
        <v>45486</v>
      </c>
    </row>
    <row r="113" spans="1:9" x14ac:dyDescent="0.25">
      <c r="A113" s="53" t="s">
        <v>259</v>
      </c>
      <c r="B113" s="14" t="s">
        <v>500</v>
      </c>
      <c r="C113" s="22">
        <f>581349-64321</f>
        <v>517028</v>
      </c>
      <c r="D113" s="13"/>
      <c r="E113" s="6"/>
      <c r="F113" s="6"/>
      <c r="G113" s="28"/>
      <c r="H113" s="6"/>
      <c r="I113" s="109">
        <f t="shared" si="11"/>
        <v>517028</v>
      </c>
    </row>
    <row r="114" spans="1:9" x14ac:dyDescent="0.25">
      <c r="A114" s="53" t="s">
        <v>260</v>
      </c>
      <c r="B114" s="14" t="s">
        <v>332</v>
      </c>
      <c r="C114" s="22">
        <v>253612</v>
      </c>
      <c r="D114" s="13"/>
      <c r="E114" s="6"/>
      <c r="F114" s="6"/>
      <c r="G114" s="28"/>
      <c r="H114" s="6"/>
      <c r="I114" s="109">
        <f t="shared" si="11"/>
        <v>253612</v>
      </c>
    </row>
    <row r="115" spans="1:9" x14ac:dyDescent="0.25">
      <c r="A115" s="53" t="s">
        <v>261</v>
      </c>
      <c r="B115" s="14" t="s">
        <v>333</v>
      </c>
      <c r="C115" s="22">
        <v>192566</v>
      </c>
      <c r="D115" s="13"/>
      <c r="E115" s="6"/>
      <c r="F115" s="6"/>
      <c r="G115" s="28"/>
      <c r="H115" s="6"/>
      <c r="I115" s="109">
        <f t="shared" si="11"/>
        <v>192566</v>
      </c>
    </row>
    <row r="116" spans="1:9" x14ac:dyDescent="0.25">
      <c r="A116" s="53" t="s">
        <v>262</v>
      </c>
      <c r="B116" s="14" t="s">
        <v>501</v>
      </c>
      <c r="C116" s="47">
        <v>484593</v>
      </c>
      <c r="D116" s="13"/>
      <c r="E116" s="6"/>
      <c r="F116" s="6"/>
      <c r="G116" s="28"/>
      <c r="H116" s="6"/>
      <c r="I116" s="109">
        <f t="shared" si="11"/>
        <v>484593</v>
      </c>
    </row>
    <row r="117" spans="1:9" x14ac:dyDescent="0.25">
      <c r="A117" s="53" t="s">
        <v>263</v>
      </c>
      <c r="B117" s="14" t="s">
        <v>334</v>
      </c>
      <c r="C117" s="59">
        <f>732801+3800</f>
        <v>736601</v>
      </c>
      <c r="D117" s="158"/>
      <c r="E117" s="6"/>
      <c r="F117" s="6"/>
      <c r="G117" s="28"/>
      <c r="H117" s="6"/>
      <c r="I117" s="109">
        <f t="shared" si="11"/>
        <v>736601</v>
      </c>
    </row>
    <row r="118" spans="1:9" x14ac:dyDescent="0.25">
      <c r="A118" s="53" t="s">
        <v>264</v>
      </c>
      <c r="B118" s="14" t="s">
        <v>335</v>
      </c>
      <c r="C118" s="59">
        <f>180269+12788</f>
        <v>193057</v>
      </c>
      <c r="D118" s="158"/>
      <c r="E118" s="6"/>
      <c r="F118" s="6"/>
      <c r="G118" s="28"/>
      <c r="H118" s="6"/>
      <c r="I118" s="109">
        <f t="shared" si="11"/>
        <v>193057</v>
      </c>
    </row>
    <row r="119" spans="1:9" x14ac:dyDescent="0.25">
      <c r="A119" s="53" t="s">
        <v>265</v>
      </c>
      <c r="B119" s="14" t="s">
        <v>336</v>
      </c>
      <c r="C119" s="47">
        <v>166153</v>
      </c>
      <c r="D119" s="13"/>
      <c r="E119" s="6"/>
      <c r="F119" s="6"/>
      <c r="G119" s="28"/>
      <c r="H119" s="6"/>
      <c r="I119" s="109">
        <f t="shared" si="11"/>
        <v>166153</v>
      </c>
    </row>
    <row r="120" spans="1:9" x14ac:dyDescent="0.25">
      <c r="A120" s="53" t="s">
        <v>266</v>
      </c>
      <c r="B120" s="14" t="s">
        <v>502</v>
      </c>
      <c r="C120" s="47">
        <v>545757</v>
      </c>
      <c r="D120" s="13"/>
      <c r="E120" s="6"/>
      <c r="F120" s="6"/>
      <c r="G120" s="28"/>
      <c r="H120" s="6"/>
      <c r="I120" s="109">
        <f t="shared" si="11"/>
        <v>545757</v>
      </c>
    </row>
    <row r="121" spans="1:9" x14ac:dyDescent="0.25">
      <c r="A121" s="53" t="s">
        <v>267</v>
      </c>
      <c r="B121" s="14" t="s">
        <v>503</v>
      </c>
      <c r="C121" s="22">
        <v>709804</v>
      </c>
      <c r="D121" s="13"/>
      <c r="E121" s="6"/>
      <c r="F121" s="6"/>
      <c r="G121" s="28"/>
      <c r="H121" s="6"/>
      <c r="I121" s="109">
        <f t="shared" si="11"/>
        <v>709804</v>
      </c>
    </row>
    <row r="122" spans="1:9" x14ac:dyDescent="0.25">
      <c r="A122" s="53" t="s">
        <v>397</v>
      </c>
      <c r="B122" s="14" t="s">
        <v>84</v>
      </c>
      <c r="C122" s="50">
        <v>230552</v>
      </c>
      <c r="D122" s="147"/>
      <c r="E122" s="28"/>
      <c r="F122" s="6"/>
      <c r="G122" s="28"/>
      <c r="H122" s="28"/>
      <c r="I122" s="109">
        <f t="shared" si="11"/>
        <v>230552</v>
      </c>
    </row>
    <row r="123" spans="1:9" x14ac:dyDescent="0.25">
      <c r="A123" s="53" t="s">
        <v>398</v>
      </c>
      <c r="B123" s="14" t="s">
        <v>89</v>
      </c>
      <c r="C123" s="50">
        <v>270713</v>
      </c>
      <c r="D123" s="147"/>
      <c r="E123" s="28"/>
      <c r="F123" s="6"/>
      <c r="G123" s="28"/>
      <c r="H123" s="28"/>
      <c r="I123" s="109">
        <f t="shared" si="11"/>
        <v>270713</v>
      </c>
    </row>
    <row r="124" spans="1:9" x14ac:dyDescent="0.25">
      <c r="A124" s="53" t="s">
        <v>399</v>
      </c>
      <c r="B124" s="14" t="s">
        <v>91</v>
      </c>
      <c r="C124" s="50">
        <v>340998</v>
      </c>
      <c r="D124" s="147"/>
      <c r="E124" s="28"/>
      <c r="F124" s="6"/>
      <c r="G124" s="28"/>
      <c r="H124" s="28"/>
      <c r="I124" s="109">
        <f t="shared" si="11"/>
        <v>340998</v>
      </c>
    </row>
    <row r="125" spans="1:9" x14ac:dyDescent="0.25">
      <c r="A125" s="53" t="s">
        <v>400</v>
      </c>
      <c r="B125" s="14" t="s">
        <v>85</v>
      </c>
      <c r="C125" s="50">
        <f>700535+6100</f>
        <v>706635</v>
      </c>
      <c r="D125" s="147"/>
      <c r="E125" s="28"/>
      <c r="F125" s="6"/>
      <c r="G125" s="28"/>
      <c r="H125" s="28"/>
      <c r="I125" s="109">
        <f t="shared" si="11"/>
        <v>706635</v>
      </c>
    </row>
    <row r="126" spans="1:9" x14ac:dyDescent="0.25">
      <c r="A126" s="53" t="s">
        <v>401</v>
      </c>
      <c r="B126" s="14" t="s">
        <v>92</v>
      </c>
      <c r="C126" s="50">
        <v>217007</v>
      </c>
      <c r="D126" s="147"/>
      <c r="E126" s="28"/>
      <c r="F126" s="6"/>
      <c r="G126" s="28"/>
      <c r="H126" s="28"/>
      <c r="I126" s="109">
        <f t="shared" ref="I126:I137" si="21">SUM(C126:H126)</f>
        <v>217007</v>
      </c>
    </row>
    <row r="127" spans="1:9" x14ac:dyDescent="0.25">
      <c r="A127" s="53" t="s">
        <v>402</v>
      </c>
      <c r="B127" s="14" t="s">
        <v>87</v>
      </c>
      <c r="C127" s="50">
        <v>214047</v>
      </c>
      <c r="D127" s="147"/>
      <c r="E127" s="28"/>
      <c r="F127" s="6"/>
      <c r="G127" s="28"/>
      <c r="H127" s="28"/>
      <c r="I127" s="109">
        <f t="shared" si="21"/>
        <v>214047</v>
      </c>
    </row>
    <row r="128" spans="1:9" x14ac:dyDescent="0.25">
      <c r="A128" s="53" t="s">
        <v>403</v>
      </c>
      <c r="B128" s="14" t="s">
        <v>86</v>
      </c>
      <c r="C128" s="50">
        <v>216924</v>
      </c>
      <c r="D128" s="147"/>
      <c r="E128" s="28"/>
      <c r="F128" s="6"/>
      <c r="G128" s="28"/>
      <c r="H128" s="28"/>
      <c r="I128" s="109">
        <f t="shared" si="21"/>
        <v>216924</v>
      </c>
    </row>
    <row r="129" spans="1:9" x14ac:dyDescent="0.25">
      <c r="A129" s="53" t="s">
        <v>404</v>
      </c>
      <c r="B129" s="14" t="s">
        <v>90</v>
      </c>
      <c r="C129" s="50">
        <v>231664</v>
      </c>
      <c r="D129" s="147"/>
      <c r="E129" s="28"/>
      <c r="F129" s="6"/>
      <c r="G129" s="28"/>
      <c r="H129" s="28"/>
      <c r="I129" s="109">
        <f t="shared" si="21"/>
        <v>231664</v>
      </c>
    </row>
    <row r="130" spans="1:9" x14ac:dyDescent="0.25">
      <c r="A130" s="53" t="s">
        <v>472</v>
      </c>
      <c r="B130" s="11" t="s">
        <v>473</v>
      </c>
      <c r="C130" s="22">
        <v>201268</v>
      </c>
      <c r="D130" s="6"/>
      <c r="E130" s="6"/>
      <c r="F130" s="6"/>
      <c r="G130" s="28"/>
      <c r="H130" s="6"/>
      <c r="I130" s="109">
        <f t="shared" si="21"/>
        <v>201268</v>
      </c>
    </row>
    <row r="131" spans="1:9" ht="30" x14ac:dyDescent="0.25">
      <c r="A131" s="20" t="s">
        <v>338</v>
      </c>
      <c r="B131" s="42" t="s">
        <v>231</v>
      </c>
      <c r="C131" s="22">
        <v>1148816</v>
      </c>
      <c r="D131" s="28"/>
      <c r="E131" s="28"/>
      <c r="F131" s="6"/>
      <c r="G131" s="28"/>
      <c r="H131" s="28"/>
      <c r="I131" s="109">
        <f t="shared" si="21"/>
        <v>1148816</v>
      </c>
    </row>
    <row r="132" spans="1:9" ht="30" x14ac:dyDescent="0.25">
      <c r="A132" s="20" t="s">
        <v>193</v>
      </c>
      <c r="B132" s="36" t="s">
        <v>194</v>
      </c>
      <c r="C132" s="50">
        <v>2255430</v>
      </c>
      <c r="D132" s="28"/>
      <c r="E132" s="28"/>
      <c r="F132" s="6"/>
      <c r="G132" s="28"/>
      <c r="H132" s="28"/>
      <c r="I132" s="109">
        <f t="shared" si="21"/>
        <v>2255430</v>
      </c>
    </row>
    <row r="133" spans="1:9" ht="30" x14ac:dyDescent="0.25">
      <c r="A133" s="20" t="s">
        <v>268</v>
      </c>
      <c r="B133" s="10" t="s">
        <v>674</v>
      </c>
      <c r="C133" s="159">
        <f>452589+11508</f>
        <v>464097</v>
      </c>
      <c r="D133" s="28"/>
      <c r="E133" s="28"/>
      <c r="F133" s="6"/>
      <c r="G133" s="28"/>
      <c r="H133" s="28"/>
      <c r="I133" s="109">
        <f t="shared" si="21"/>
        <v>464097</v>
      </c>
    </row>
    <row r="134" spans="1:9" ht="30" x14ac:dyDescent="0.25">
      <c r="A134" s="20" t="s">
        <v>269</v>
      </c>
      <c r="B134" s="10" t="s">
        <v>675</v>
      </c>
      <c r="C134" s="7">
        <v>432005</v>
      </c>
      <c r="D134" s="28"/>
      <c r="E134" s="28"/>
      <c r="F134" s="6"/>
      <c r="G134" s="28"/>
      <c r="H134" s="28"/>
      <c r="I134" s="109">
        <f t="shared" si="21"/>
        <v>432005</v>
      </c>
    </row>
    <row r="135" spans="1:9" ht="30" x14ac:dyDescent="0.25">
      <c r="A135" s="20" t="s">
        <v>575</v>
      </c>
      <c r="B135" s="24" t="s">
        <v>576</v>
      </c>
      <c r="C135" s="7">
        <v>663147</v>
      </c>
      <c r="D135" s="28"/>
      <c r="E135" s="28"/>
      <c r="F135" s="6"/>
      <c r="G135" s="28"/>
      <c r="H135" s="28"/>
      <c r="I135" s="109">
        <f>SUM(C135:H135)</f>
        <v>663147</v>
      </c>
    </row>
    <row r="136" spans="1:9" ht="45" x14ac:dyDescent="0.25">
      <c r="A136" s="20" t="s">
        <v>577</v>
      </c>
      <c r="B136" s="24" t="s">
        <v>578</v>
      </c>
      <c r="C136" s="7">
        <v>496704</v>
      </c>
      <c r="D136" s="28"/>
      <c r="E136" s="28"/>
      <c r="F136" s="6"/>
      <c r="G136" s="28"/>
      <c r="H136" s="28"/>
      <c r="I136" s="109">
        <f>SUM(C136:H136)</f>
        <v>496704</v>
      </c>
    </row>
    <row r="137" spans="1:9" ht="15.75" thickBot="1" x14ac:dyDescent="0.3">
      <c r="A137" s="20" t="s">
        <v>429</v>
      </c>
      <c r="B137" s="42" t="s">
        <v>430</v>
      </c>
      <c r="C137" s="22">
        <v>60000</v>
      </c>
      <c r="D137" s="6"/>
      <c r="E137" s="6"/>
      <c r="F137" s="6"/>
      <c r="G137" s="28"/>
      <c r="H137" s="6"/>
      <c r="I137" s="109">
        <f t="shared" si="21"/>
        <v>60000</v>
      </c>
    </row>
    <row r="138" spans="1:9" ht="15.75" thickBot="1" x14ac:dyDescent="0.3">
      <c r="A138" s="113" t="s">
        <v>4</v>
      </c>
      <c r="B138" s="96" t="s">
        <v>36</v>
      </c>
      <c r="C138" s="99">
        <f>C139+C142</f>
        <v>266231</v>
      </c>
      <c r="D138" s="99">
        <f t="shared" ref="D138:I138" si="22">D139+D142</f>
        <v>0</v>
      </c>
      <c r="E138" s="99">
        <f t="shared" si="22"/>
        <v>0</v>
      </c>
      <c r="F138" s="99">
        <f t="shared" si="22"/>
        <v>0</v>
      </c>
      <c r="G138" s="99">
        <f t="shared" si="22"/>
        <v>0</v>
      </c>
      <c r="H138" s="99">
        <f t="shared" si="22"/>
        <v>0</v>
      </c>
      <c r="I138" s="99">
        <f t="shared" si="22"/>
        <v>266231</v>
      </c>
    </row>
    <row r="139" spans="1:9" s="2" customFormat="1" ht="14.25" x14ac:dyDescent="0.2">
      <c r="A139" s="129" t="s">
        <v>37</v>
      </c>
      <c r="B139" s="130" t="s">
        <v>38</v>
      </c>
      <c r="C139" s="154">
        <f t="shared" ref="C139:H139" si="23">SUM(C140:C141)</f>
        <v>91354</v>
      </c>
      <c r="D139" s="154">
        <f t="shared" si="23"/>
        <v>0</v>
      </c>
      <c r="E139" s="154">
        <f t="shared" si="23"/>
        <v>0</v>
      </c>
      <c r="F139" s="154">
        <f t="shared" si="23"/>
        <v>0</v>
      </c>
      <c r="G139" s="154">
        <f t="shared" si="23"/>
        <v>0</v>
      </c>
      <c r="H139" s="154">
        <f t="shared" si="23"/>
        <v>0</v>
      </c>
      <c r="I139" s="102">
        <f t="shared" ref="I139:I202" si="24">SUM(C139:H139)</f>
        <v>91354</v>
      </c>
    </row>
    <row r="140" spans="1:9" s="2" customFormat="1" x14ac:dyDescent="0.25">
      <c r="A140" s="104" t="s">
        <v>178</v>
      </c>
      <c r="B140" s="24" t="s">
        <v>425</v>
      </c>
      <c r="C140" s="51">
        <v>49069</v>
      </c>
      <c r="D140" s="33"/>
      <c r="E140" s="33"/>
      <c r="F140" s="106"/>
      <c r="G140" s="28"/>
      <c r="H140" s="33"/>
      <c r="I140" s="109">
        <f t="shared" si="24"/>
        <v>49069</v>
      </c>
    </row>
    <row r="141" spans="1:9" s="2" customFormat="1" x14ac:dyDescent="0.25">
      <c r="A141" s="104" t="s">
        <v>405</v>
      </c>
      <c r="B141" s="24" t="s">
        <v>637</v>
      </c>
      <c r="C141" s="49">
        <v>42285</v>
      </c>
      <c r="D141" s="33"/>
      <c r="E141" s="33"/>
      <c r="F141" s="106"/>
      <c r="G141" s="28"/>
      <c r="H141" s="33"/>
      <c r="I141" s="109">
        <f t="shared" si="24"/>
        <v>42285</v>
      </c>
    </row>
    <row r="142" spans="1:9" s="2" customFormat="1" ht="14.25" x14ac:dyDescent="0.2">
      <c r="A142" s="88" t="s">
        <v>495</v>
      </c>
      <c r="B142" s="89" t="s">
        <v>496</v>
      </c>
      <c r="C142" s="154">
        <f>C143+C144+C145</f>
        <v>174877</v>
      </c>
      <c r="D142" s="154">
        <f t="shared" ref="D142:I142" si="25">D143+D144+D145</f>
        <v>0</v>
      </c>
      <c r="E142" s="154">
        <f t="shared" si="25"/>
        <v>0</v>
      </c>
      <c r="F142" s="154">
        <f t="shared" si="25"/>
        <v>0</v>
      </c>
      <c r="G142" s="154">
        <f t="shared" si="25"/>
        <v>0</v>
      </c>
      <c r="H142" s="154">
        <f t="shared" si="25"/>
        <v>0</v>
      </c>
      <c r="I142" s="154">
        <f t="shared" si="25"/>
        <v>174877</v>
      </c>
    </row>
    <row r="143" spans="1:9" s="2" customFormat="1" ht="30" x14ac:dyDescent="0.25">
      <c r="A143" s="20" t="s">
        <v>579</v>
      </c>
      <c r="B143" s="18" t="s">
        <v>651</v>
      </c>
      <c r="C143" s="49">
        <f>100000-100000</f>
        <v>0</v>
      </c>
      <c r="D143" s="33"/>
      <c r="E143" s="33"/>
      <c r="F143" s="106"/>
      <c r="G143" s="28"/>
      <c r="H143" s="33"/>
      <c r="I143" s="109">
        <f t="shared" si="24"/>
        <v>0</v>
      </c>
    </row>
    <row r="144" spans="1:9" x14ac:dyDescent="0.25">
      <c r="A144" s="20" t="s">
        <v>192</v>
      </c>
      <c r="B144" s="18" t="s">
        <v>270</v>
      </c>
      <c r="C144" s="50">
        <v>56045</v>
      </c>
      <c r="D144" s="6"/>
      <c r="E144" s="28"/>
      <c r="F144" s="6"/>
      <c r="G144" s="28"/>
      <c r="H144" s="28"/>
      <c r="I144" s="109">
        <f t="shared" si="24"/>
        <v>56045</v>
      </c>
    </row>
    <row r="145" spans="1:9" ht="45.75" thickBot="1" x14ac:dyDescent="0.3">
      <c r="A145" s="20" t="s">
        <v>474</v>
      </c>
      <c r="B145" s="73" t="s">
        <v>676</v>
      </c>
      <c r="C145" s="50">
        <v>118832</v>
      </c>
      <c r="D145" s="6"/>
      <c r="E145" s="28"/>
      <c r="F145" s="6"/>
      <c r="G145" s="28"/>
      <c r="H145" s="28"/>
      <c r="I145" s="109">
        <f t="shared" si="24"/>
        <v>118832</v>
      </c>
    </row>
    <row r="146" spans="1:9" ht="15.75" thickBot="1" x14ac:dyDescent="0.3">
      <c r="A146" s="113" t="s">
        <v>6</v>
      </c>
      <c r="B146" s="96" t="s">
        <v>39</v>
      </c>
      <c r="C146" s="99">
        <f t="shared" ref="C146:H146" si="26">C147+C152+C207+C210+C211</f>
        <v>9100494</v>
      </c>
      <c r="D146" s="99">
        <f t="shared" si="26"/>
        <v>386642</v>
      </c>
      <c r="E146" s="99">
        <f t="shared" si="26"/>
        <v>1979540</v>
      </c>
      <c r="F146" s="99">
        <f t="shared" si="26"/>
        <v>0</v>
      </c>
      <c r="G146" s="99">
        <f t="shared" si="26"/>
        <v>0</v>
      </c>
      <c r="H146" s="99">
        <f t="shared" si="26"/>
        <v>0</v>
      </c>
      <c r="I146" s="100">
        <f t="shared" si="24"/>
        <v>11466676</v>
      </c>
    </row>
    <row r="147" spans="1:9" x14ac:dyDescent="0.25">
      <c r="A147" s="129" t="s">
        <v>40</v>
      </c>
      <c r="B147" s="130" t="s">
        <v>41</v>
      </c>
      <c r="C147" s="33">
        <f t="shared" ref="C147:H147" si="27">SUM(C148:C151)</f>
        <v>1182531</v>
      </c>
      <c r="D147" s="33">
        <f t="shared" si="27"/>
        <v>386642</v>
      </c>
      <c r="E147" s="33">
        <f t="shared" si="27"/>
        <v>0</v>
      </c>
      <c r="F147" s="33">
        <f t="shared" si="27"/>
        <v>0</v>
      </c>
      <c r="G147" s="33">
        <f t="shared" si="27"/>
        <v>0</v>
      </c>
      <c r="H147" s="33">
        <f t="shared" si="27"/>
        <v>0</v>
      </c>
      <c r="I147" s="80">
        <f>SUM(C147:H147)</f>
        <v>1569173</v>
      </c>
    </row>
    <row r="148" spans="1:9" x14ac:dyDescent="0.25">
      <c r="A148" s="104" t="s">
        <v>115</v>
      </c>
      <c r="B148" s="24" t="s">
        <v>341</v>
      </c>
      <c r="C148" s="7">
        <v>201122</v>
      </c>
      <c r="D148" s="6"/>
      <c r="E148" s="28"/>
      <c r="F148" s="6"/>
      <c r="G148" s="28"/>
      <c r="H148" s="28"/>
      <c r="I148" s="109">
        <f t="shared" si="24"/>
        <v>201122</v>
      </c>
    </row>
    <row r="149" spans="1:9" ht="30" x14ac:dyDescent="0.25">
      <c r="A149" s="104" t="s">
        <v>116</v>
      </c>
      <c r="B149" s="24" t="s">
        <v>342</v>
      </c>
      <c r="C149" s="7">
        <v>885787</v>
      </c>
      <c r="D149" s="6"/>
      <c r="E149" s="28"/>
      <c r="F149" s="6"/>
      <c r="G149" s="28"/>
      <c r="H149" s="28"/>
      <c r="I149" s="109">
        <f t="shared" si="24"/>
        <v>885787</v>
      </c>
    </row>
    <row r="150" spans="1:9" x14ac:dyDescent="0.25">
      <c r="A150" s="104" t="s">
        <v>360</v>
      </c>
      <c r="B150" s="24" t="s">
        <v>361</v>
      </c>
      <c r="C150" s="28">
        <f>95622</f>
        <v>95622</v>
      </c>
      <c r="D150" s="28"/>
      <c r="E150" s="28"/>
      <c r="F150" s="6"/>
      <c r="G150" s="28"/>
      <c r="H150" s="28"/>
      <c r="I150" s="109">
        <f>SUM(C150:H150)</f>
        <v>95622</v>
      </c>
    </row>
    <row r="151" spans="1:9" x14ac:dyDescent="0.25">
      <c r="A151" s="104" t="s">
        <v>162</v>
      </c>
      <c r="B151" s="24" t="s">
        <v>191</v>
      </c>
      <c r="C151" s="28"/>
      <c r="D151" s="28">
        <v>386642</v>
      </c>
      <c r="E151" s="28"/>
      <c r="F151" s="6"/>
      <c r="G151" s="28"/>
      <c r="H151" s="28"/>
      <c r="I151" s="109">
        <f t="shared" si="24"/>
        <v>386642</v>
      </c>
    </row>
    <row r="152" spans="1:9" x14ac:dyDescent="0.25">
      <c r="A152" s="134" t="s">
        <v>42</v>
      </c>
      <c r="B152" s="120" t="s">
        <v>5</v>
      </c>
      <c r="C152" s="32">
        <f t="shared" ref="C152:H152" si="28">SUM(C153+C170+C178++C198+C200)</f>
        <v>7542510</v>
      </c>
      <c r="D152" s="32">
        <f t="shared" si="28"/>
        <v>0</v>
      </c>
      <c r="E152" s="32">
        <f t="shared" si="28"/>
        <v>1979540</v>
      </c>
      <c r="F152" s="32">
        <f t="shared" si="28"/>
        <v>0</v>
      </c>
      <c r="G152" s="32">
        <f t="shared" si="28"/>
        <v>0</v>
      </c>
      <c r="H152" s="32">
        <f t="shared" si="28"/>
        <v>0</v>
      </c>
      <c r="I152" s="109">
        <f t="shared" si="24"/>
        <v>9522050</v>
      </c>
    </row>
    <row r="153" spans="1:9" s="2" customFormat="1" ht="14.25" x14ac:dyDescent="0.2">
      <c r="A153" s="160" t="s">
        <v>271</v>
      </c>
      <c r="B153" s="116" t="s">
        <v>64</v>
      </c>
      <c r="C153" s="32">
        <f t="shared" ref="C153:H153" si="29">SUM(C154:C169)</f>
        <v>1762769</v>
      </c>
      <c r="D153" s="32">
        <f t="shared" si="29"/>
        <v>0</v>
      </c>
      <c r="E153" s="32">
        <f t="shared" si="29"/>
        <v>0</v>
      </c>
      <c r="F153" s="32">
        <f t="shared" si="29"/>
        <v>0</v>
      </c>
      <c r="G153" s="32">
        <f t="shared" si="29"/>
        <v>0</v>
      </c>
      <c r="H153" s="32">
        <f t="shared" si="29"/>
        <v>0</v>
      </c>
      <c r="I153" s="109">
        <f t="shared" si="24"/>
        <v>1762769</v>
      </c>
    </row>
    <row r="154" spans="1:9" x14ac:dyDescent="0.25">
      <c r="A154" s="53" t="s">
        <v>184</v>
      </c>
      <c r="B154" s="14" t="s">
        <v>272</v>
      </c>
      <c r="C154" s="28">
        <f>861690+1800</f>
        <v>863490</v>
      </c>
      <c r="D154" s="28"/>
      <c r="E154" s="28"/>
      <c r="F154" s="28"/>
      <c r="G154" s="28"/>
      <c r="H154" s="28"/>
      <c r="I154" s="109">
        <f t="shared" si="24"/>
        <v>863490</v>
      </c>
    </row>
    <row r="155" spans="1:9" x14ac:dyDescent="0.25">
      <c r="A155" s="53" t="s">
        <v>273</v>
      </c>
      <c r="B155" s="24" t="s">
        <v>274</v>
      </c>
      <c r="C155" s="34">
        <v>152405</v>
      </c>
      <c r="D155" s="28"/>
      <c r="E155" s="28"/>
      <c r="F155" s="28"/>
      <c r="G155" s="28"/>
      <c r="H155" s="28"/>
      <c r="I155" s="109">
        <f t="shared" si="24"/>
        <v>152405</v>
      </c>
    </row>
    <row r="156" spans="1:9" x14ac:dyDescent="0.25">
      <c r="A156" s="53" t="s">
        <v>275</v>
      </c>
      <c r="B156" s="24" t="s">
        <v>504</v>
      </c>
      <c r="C156" s="34">
        <v>32369</v>
      </c>
      <c r="D156" s="28"/>
      <c r="E156" s="28"/>
      <c r="F156" s="28"/>
      <c r="G156" s="28"/>
      <c r="H156" s="28"/>
      <c r="I156" s="109">
        <f t="shared" si="24"/>
        <v>32369</v>
      </c>
    </row>
    <row r="157" spans="1:9" ht="30" x14ac:dyDescent="0.25">
      <c r="A157" s="53" t="s">
        <v>276</v>
      </c>
      <c r="B157" s="24" t="s">
        <v>277</v>
      </c>
      <c r="C157" s="34">
        <v>176781</v>
      </c>
      <c r="D157" s="28"/>
      <c r="E157" s="28"/>
      <c r="F157" s="28"/>
      <c r="G157" s="28"/>
      <c r="H157" s="28"/>
      <c r="I157" s="109">
        <f t="shared" si="24"/>
        <v>176781</v>
      </c>
    </row>
    <row r="158" spans="1:9" x14ac:dyDescent="0.25">
      <c r="A158" s="53" t="s">
        <v>278</v>
      </c>
      <c r="B158" s="24" t="s">
        <v>505</v>
      </c>
      <c r="C158" s="34">
        <v>34201</v>
      </c>
      <c r="D158" s="28"/>
      <c r="E158" s="28"/>
      <c r="F158" s="28"/>
      <c r="G158" s="28"/>
      <c r="H158" s="28"/>
      <c r="I158" s="109">
        <f t="shared" si="24"/>
        <v>34201</v>
      </c>
    </row>
    <row r="159" spans="1:9" x14ac:dyDescent="0.25">
      <c r="A159" s="53" t="s">
        <v>279</v>
      </c>
      <c r="B159" s="24" t="s">
        <v>506</v>
      </c>
      <c r="C159" s="28">
        <v>26158</v>
      </c>
      <c r="D159" s="28"/>
      <c r="E159" s="28"/>
      <c r="F159" s="28"/>
      <c r="G159" s="28"/>
      <c r="H159" s="28"/>
      <c r="I159" s="109">
        <f t="shared" si="24"/>
        <v>26158</v>
      </c>
    </row>
    <row r="160" spans="1:9" x14ac:dyDescent="0.25">
      <c r="A160" s="53" t="s">
        <v>280</v>
      </c>
      <c r="B160" s="24" t="s">
        <v>507</v>
      </c>
      <c r="C160" s="28">
        <v>43790</v>
      </c>
      <c r="D160" s="28"/>
      <c r="E160" s="28"/>
      <c r="F160" s="28"/>
      <c r="G160" s="28"/>
      <c r="H160" s="28"/>
      <c r="I160" s="109">
        <f t="shared" si="24"/>
        <v>43790</v>
      </c>
    </row>
    <row r="161" spans="1:9" x14ac:dyDescent="0.25">
      <c r="A161" s="53" t="s">
        <v>281</v>
      </c>
      <c r="B161" s="24" t="s">
        <v>508</v>
      </c>
      <c r="C161" s="28">
        <v>165114</v>
      </c>
      <c r="D161" s="28"/>
      <c r="E161" s="28"/>
      <c r="F161" s="28"/>
      <c r="G161" s="28"/>
      <c r="H161" s="28"/>
      <c r="I161" s="109">
        <f t="shared" si="24"/>
        <v>165114</v>
      </c>
    </row>
    <row r="162" spans="1:9" x14ac:dyDescent="0.25">
      <c r="A162" s="53" t="s">
        <v>406</v>
      </c>
      <c r="B162" s="24" t="s">
        <v>509</v>
      </c>
      <c r="C162" s="28">
        <v>46928</v>
      </c>
      <c r="D162" s="28"/>
      <c r="E162" s="28"/>
      <c r="F162" s="28"/>
      <c r="G162" s="28"/>
      <c r="H162" s="28"/>
      <c r="I162" s="109">
        <f t="shared" si="24"/>
        <v>46928</v>
      </c>
    </row>
    <row r="163" spans="1:9" x14ac:dyDescent="0.25">
      <c r="A163" s="53" t="s">
        <v>407</v>
      </c>
      <c r="B163" s="24" t="s">
        <v>510</v>
      </c>
      <c r="C163" s="28">
        <v>46098</v>
      </c>
      <c r="D163" s="28"/>
      <c r="E163" s="28"/>
      <c r="F163" s="28"/>
      <c r="G163" s="28"/>
      <c r="H163" s="28"/>
      <c r="I163" s="109">
        <f t="shared" si="24"/>
        <v>46098</v>
      </c>
    </row>
    <row r="164" spans="1:9" x14ac:dyDescent="0.25">
      <c r="A164" s="53" t="s">
        <v>408</v>
      </c>
      <c r="B164" s="24" t="s">
        <v>511</v>
      </c>
      <c r="C164" s="28">
        <v>24442</v>
      </c>
      <c r="D164" s="28"/>
      <c r="E164" s="28"/>
      <c r="F164" s="28"/>
      <c r="G164" s="28"/>
      <c r="H164" s="28"/>
      <c r="I164" s="109">
        <f t="shared" si="24"/>
        <v>24442</v>
      </c>
    </row>
    <row r="165" spans="1:9" x14ac:dyDescent="0.25">
      <c r="A165" s="53" t="s">
        <v>409</v>
      </c>
      <c r="B165" s="24" t="s">
        <v>512</v>
      </c>
      <c r="C165" s="28">
        <v>51062</v>
      </c>
      <c r="D165" s="28"/>
      <c r="E165" s="28"/>
      <c r="F165" s="28"/>
      <c r="G165" s="28"/>
      <c r="H165" s="28"/>
      <c r="I165" s="109">
        <f t="shared" si="24"/>
        <v>51062</v>
      </c>
    </row>
    <row r="166" spans="1:9" x14ac:dyDescent="0.25">
      <c r="A166" s="53" t="s">
        <v>410</v>
      </c>
      <c r="B166" s="24" t="s">
        <v>513</v>
      </c>
      <c r="C166" s="28">
        <v>21533</v>
      </c>
      <c r="D166" s="28"/>
      <c r="E166" s="28"/>
      <c r="F166" s="28"/>
      <c r="G166" s="28"/>
      <c r="H166" s="28"/>
      <c r="I166" s="109">
        <f t="shared" si="24"/>
        <v>21533</v>
      </c>
    </row>
    <row r="167" spans="1:9" x14ac:dyDescent="0.25">
      <c r="A167" s="53" t="s">
        <v>411</v>
      </c>
      <c r="B167" s="24" t="s">
        <v>514</v>
      </c>
      <c r="C167" s="28">
        <v>25066</v>
      </c>
      <c r="D167" s="28"/>
      <c r="E167" s="28"/>
      <c r="F167" s="28"/>
      <c r="G167" s="28"/>
      <c r="H167" s="28"/>
      <c r="I167" s="109">
        <f t="shared" si="24"/>
        <v>25066</v>
      </c>
    </row>
    <row r="168" spans="1:9" x14ac:dyDescent="0.25">
      <c r="A168" s="53" t="s">
        <v>412</v>
      </c>
      <c r="B168" s="24" t="s">
        <v>515</v>
      </c>
      <c r="C168" s="28">
        <v>29594</v>
      </c>
      <c r="D168" s="28"/>
      <c r="E168" s="28"/>
      <c r="F168" s="28"/>
      <c r="G168" s="28"/>
      <c r="H168" s="28"/>
      <c r="I168" s="109">
        <f t="shared" si="24"/>
        <v>29594</v>
      </c>
    </row>
    <row r="169" spans="1:9" x14ac:dyDescent="0.25">
      <c r="A169" s="53" t="s">
        <v>413</v>
      </c>
      <c r="B169" s="24" t="s">
        <v>516</v>
      </c>
      <c r="C169" s="28">
        <v>23738</v>
      </c>
      <c r="D169" s="28"/>
      <c r="E169" s="28"/>
      <c r="F169" s="28"/>
      <c r="G169" s="28"/>
      <c r="H169" s="28"/>
      <c r="I169" s="109">
        <f t="shared" si="24"/>
        <v>23738</v>
      </c>
    </row>
    <row r="170" spans="1:9" s="2" customFormat="1" ht="14.25" x14ac:dyDescent="0.2">
      <c r="A170" s="108" t="s">
        <v>198</v>
      </c>
      <c r="B170" s="116" t="s">
        <v>60</v>
      </c>
      <c r="C170" s="32">
        <f>SUM(C171:C177)</f>
        <v>970254</v>
      </c>
      <c r="D170" s="32">
        <f>SUM(D171:D175)</f>
        <v>0</v>
      </c>
      <c r="E170" s="32">
        <f>SUM(E171:E175)</f>
        <v>0</v>
      </c>
      <c r="F170" s="32">
        <f>SUM(F171:F175)</f>
        <v>0</v>
      </c>
      <c r="G170" s="32">
        <f>SUM(G171:G175)</f>
        <v>0</v>
      </c>
      <c r="H170" s="32">
        <f>SUM(H171:H175)</f>
        <v>0</v>
      </c>
      <c r="I170" s="109">
        <f t="shared" si="24"/>
        <v>970254</v>
      </c>
    </row>
    <row r="171" spans="1:9" x14ac:dyDescent="0.25">
      <c r="A171" s="104" t="s">
        <v>117</v>
      </c>
      <c r="B171" s="24" t="s">
        <v>517</v>
      </c>
      <c r="C171" s="28">
        <v>668672</v>
      </c>
      <c r="D171" s="6"/>
      <c r="E171" s="28"/>
      <c r="F171" s="6"/>
      <c r="G171" s="28"/>
      <c r="H171" s="28"/>
      <c r="I171" s="109">
        <f t="shared" si="24"/>
        <v>668672</v>
      </c>
    </row>
    <row r="172" spans="1:9" x14ac:dyDescent="0.25">
      <c r="A172" s="104" t="s">
        <v>187</v>
      </c>
      <c r="B172" s="27" t="s">
        <v>518</v>
      </c>
      <c r="C172" s="28">
        <v>17202</v>
      </c>
      <c r="D172" s="28"/>
      <c r="E172" s="28"/>
      <c r="F172" s="28"/>
      <c r="G172" s="28"/>
      <c r="H172" s="28"/>
      <c r="I172" s="109">
        <f t="shared" si="24"/>
        <v>17202</v>
      </c>
    </row>
    <row r="173" spans="1:9" x14ac:dyDescent="0.25">
      <c r="A173" s="104" t="s">
        <v>282</v>
      </c>
      <c r="B173" s="27" t="s">
        <v>519</v>
      </c>
      <c r="C173" s="28">
        <v>131761</v>
      </c>
      <c r="D173" s="28"/>
      <c r="E173" s="28"/>
      <c r="F173" s="28"/>
      <c r="G173" s="28"/>
      <c r="H173" s="28"/>
      <c r="I173" s="109">
        <f t="shared" si="24"/>
        <v>131761</v>
      </c>
    </row>
    <row r="174" spans="1:9" x14ac:dyDescent="0.25">
      <c r="A174" s="53" t="s">
        <v>283</v>
      </c>
      <c r="B174" s="27" t="s">
        <v>218</v>
      </c>
      <c r="C174" s="34">
        <v>26655</v>
      </c>
      <c r="D174" s="28"/>
      <c r="E174" s="28"/>
      <c r="F174" s="28"/>
      <c r="G174" s="28"/>
      <c r="H174" s="28"/>
      <c r="I174" s="109">
        <f t="shared" si="24"/>
        <v>26655</v>
      </c>
    </row>
    <row r="175" spans="1:9" x14ac:dyDescent="0.25">
      <c r="A175" s="53" t="s">
        <v>284</v>
      </c>
      <c r="B175" s="14" t="s">
        <v>424</v>
      </c>
      <c r="C175" s="34">
        <v>39693</v>
      </c>
      <c r="D175" s="28"/>
      <c r="E175" s="28"/>
      <c r="F175" s="28"/>
      <c r="G175" s="28"/>
      <c r="H175" s="28"/>
      <c r="I175" s="109">
        <f t="shared" si="24"/>
        <v>39693</v>
      </c>
    </row>
    <row r="176" spans="1:9" ht="30" x14ac:dyDescent="0.25">
      <c r="A176" s="53" t="s">
        <v>580</v>
      </c>
      <c r="B176" s="74" t="s">
        <v>581</v>
      </c>
      <c r="C176" s="34">
        <v>60637</v>
      </c>
      <c r="D176" s="28"/>
      <c r="E176" s="28"/>
      <c r="F176" s="28"/>
      <c r="G176" s="28"/>
      <c r="H176" s="28"/>
      <c r="I176" s="109">
        <f t="shared" si="24"/>
        <v>60637</v>
      </c>
    </row>
    <row r="177" spans="1:9" x14ac:dyDescent="0.25">
      <c r="A177" s="53" t="s">
        <v>582</v>
      </c>
      <c r="B177" s="74" t="s">
        <v>583</v>
      </c>
      <c r="C177" s="34">
        <v>25634</v>
      </c>
      <c r="D177" s="28"/>
      <c r="E177" s="28"/>
      <c r="F177" s="28"/>
      <c r="G177" s="28"/>
      <c r="H177" s="28"/>
      <c r="I177" s="109">
        <f t="shared" si="24"/>
        <v>25634</v>
      </c>
    </row>
    <row r="178" spans="1:9" s="2" customFormat="1" ht="14.25" x14ac:dyDescent="0.2">
      <c r="A178" s="108" t="s">
        <v>43</v>
      </c>
      <c r="B178" s="116" t="s">
        <v>199</v>
      </c>
      <c r="C178" s="32">
        <f>SUM(C179:C197)</f>
        <v>3597512</v>
      </c>
      <c r="D178" s="32">
        <f>SUM(D179:D196)</f>
        <v>0</v>
      </c>
      <c r="E178" s="32">
        <f>SUM(E179:E196)</f>
        <v>1979540</v>
      </c>
      <c r="F178" s="32">
        <f>SUM(F179:F196)</f>
        <v>0</v>
      </c>
      <c r="G178" s="32">
        <f>SUM(G179:G196)</f>
        <v>0</v>
      </c>
      <c r="H178" s="32">
        <f>SUM(H179:H196)</f>
        <v>0</v>
      </c>
      <c r="I178" s="109">
        <f t="shared" si="24"/>
        <v>5577052</v>
      </c>
    </row>
    <row r="179" spans="1:9" x14ac:dyDescent="0.25">
      <c r="A179" s="104" t="s">
        <v>285</v>
      </c>
      <c r="B179" s="24" t="s">
        <v>475</v>
      </c>
      <c r="C179" s="56"/>
      <c r="D179" s="6"/>
      <c r="E179" s="28">
        <f>1979160+380</f>
        <v>1979540</v>
      </c>
      <c r="F179" s="6"/>
      <c r="G179" s="28"/>
      <c r="H179" s="28"/>
      <c r="I179" s="109">
        <f t="shared" si="24"/>
        <v>1979540</v>
      </c>
    </row>
    <row r="180" spans="1:9" x14ac:dyDescent="0.25">
      <c r="A180" s="53" t="s">
        <v>180</v>
      </c>
      <c r="B180" s="24" t="s">
        <v>520</v>
      </c>
      <c r="C180" s="34">
        <f>473895+5000</f>
        <v>478895</v>
      </c>
      <c r="D180" s="6"/>
      <c r="E180" s="28"/>
      <c r="F180" s="55"/>
      <c r="G180" s="28"/>
      <c r="H180" s="28"/>
      <c r="I180" s="109">
        <f t="shared" si="24"/>
        <v>478895</v>
      </c>
    </row>
    <row r="181" spans="1:9" x14ac:dyDescent="0.25">
      <c r="A181" s="53" t="s">
        <v>286</v>
      </c>
      <c r="B181" s="24" t="s">
        <v>521</v>
      </c>
      <c r="C181" s="28">
        <v>213241</v>
      </c>
      <c r="D181" s="6"/>
      <c r="E181" s="28"/>
      <c r="F181" s="55"/>
      <c r="G181" s="28"/>
      <c r="H181" s="28"/>
      <c r="I181" s="109">
        <f t="shared" si="24"/>
        <v>213241</v>
      </c>
    </row>
    <row r="182" spans="1:9" x14ac:dyDescent="0.25">
      <c r="A182" s="53" t="s">
        <v>339</v>
      </c>
      <c r="B182" s="74" t="s">
        <v>522</v>
      </c>
      <c r="C182" s="6">
        <f>628325+4000</f>
        <v>632325</v>
      </c>
      <c r="D182" s="6"/>
      <c r="E182" s="28"/>
      <c r="F182" s="55"/>
      <c r="G182" s="28"/>
      <c r="H182" s="28"/>
      <c r="I182" s="109">
        <f t="shared" si="24"/>
        <v>632325</v>
      </c>
    </row>
    <row r="183" spans="1:9" x14ac:dyDescent="0.25">
      <c r="A183" s="53" t="s">
        <v>349</v>
      </c>
      <c r="B183" s="74" t="s">
        <v>523</v>
      </c>
      <c r="C183" s="6">
        <v>223089</v>
      </c>
      <c r="D183" s="6"/>
      <c r="E183" s="28"/>
      <c r="F183" s="55"/>
      <c r="G183" s="28"/>
      <c r="H183" s="28"/>
      <c r="I183" s="109">
        <f t="shared" si="24"/>
        <v>223089</v>
      </c>
    </row>
    <row r="184" spans="1:9" x14ac:dyDescent="0.25">
      <c r="A184" s="53" t="s">
        <v>444</v>
      </c>
      <c r="B184" s="74" t="s">
        <v>524</v>
      </c>
      <c r="C184" s="6">
        <v>91973</v>
      </c>
      <c r="D184" s="6"/>
      <c r="E184" s="28"/>
      <c r="F184" s="55"/>
      <c r="G184" s="28"/>
      <c r="H184" s="28"/>
      <c r="I184" s="109">
        <f t="shared" si="24"/>
        <v>91973</v>
      </c>
    </row>
    <row r="185" spans="1:9" x14ac:dyDescent="0.25">
      <c r="A185" s="53" t="s">
        <v>287</v>
      </c>
      <c r="B185" s="14" t="s">
        <v>525</v>
      </c>
      <c r="C185" s="6">
        <v>294074</v>
      </c>
      <c r="D185" s="6"/>
      <c r="E185" s="28"/>
      <c r="F185" s="55"/>
      <c r="G185" s="28"/>
      <c r="H185" s="28"/>
      <c r="I185" s="109">
        <f t="shared" si="24"/>
        <v>294074</v>
      </c>
    </row>
    <row r="186" spans="1:9" x14ac:dyDescent="0.25">
      <c r="A186" s="53" t="s">
        <v>288</v>
      </c>
      <c r="B186" s="14" t="s">
        <v>526</v>
      </c>
      <c r="C186" s="6">
        <v>171143</v>
      </c>
      <c r="D186" s="6"/>
      <c r="E186" s="28"/>
      <c r="F186" s="55"/>
      <c r="G186" s="28"/>
      <c r="H186" s="28"/>
      <c r="I186" s="109">
        <f t="shared" si="24"/>
        <v>171143</v>
      </c>
    </row>
    <row r="187" spans="1:9" x14ac:dyDescent="0.25">
      <c r="A187" s="53" t="s">
        <v>289</v>
      </c>
      <c r="B187" s="14" t="s">
        <v>527</v>
      </c>
      <c r="C187" s="6">
        <v>65853</v>
      </c>
      <c r="D187" s="6"/>
      <c r="E187" s="28"/>
      <c r="F187" s="55"/>
      <c r="G187" s="28"/>
      <c r="H187" s="28"/>
      <c r="I187" s="109">
        <f t="shared" si="24"/>
        <v>65853</v>
      </c>
    </row>
    <row r="188" spans="1:9" x14ac:dyDescent="0.25">
      <c r="A188" s="53" t="s">
        <v>290</v>
      </c>
      <c r="B188" s="14" t="s">
        <v>528</v>
      </c>
      <c r="C188" s="60">
        <v>106315</v>
      </c>
      <c r="D188" s="6"/>
      <c r="E188" s="28"/>
      <c r="F188" s="55"/>
      <c r="G188" s="28"/>
      <c r="H188" s="28"/>
      <c r="I188" s="109">
        <f t="shared" si="24"/>
        <v>106315</v>
      </c>
    </row>
    <row r="189" spans="1:9" x14ac:dyDescent="0.25">
      <c r="A189" s="53" t="s">
        <v>414</v>
      </c>
      <c r="B189" s="14" t="s">
        <v>529</v>
      </c>
      <c r="C189" s="60">
        <v>245534</v>
      </c>
      <c r="D189" s="6"/>
      <c r="E189" s="28"/>
      <c r="F189" s="55"/>
      <c r="G189" s="28"/>
      <c r="H189" s="28"/>
      <c r="I189" s="109">
        <f t="shared" si="24"/>
        <v>245534</v>
      </c>
    </row>
    <row r="190" spans="1:9" x14ac:dyDescent="0.25">
      <c r="A190" s="53" t="s">
        <v>415</v>
      </c>
      <c r="B190" s="14" t="s">
        <v>530</v>
      </c>
      <c r="C190" s="60">
        <v>125722</v>
      </c>
      <c r="D190" s="6"/>
      <c r="E190" s="28"/>
      <c r="F190" s="55"/>
      <c r="G190" s="28"/>
      <c r="H190" s="28"/>
      <c r="I190" s="109">
        <f t="shared" si="24"/>
        <v>125722</v>
      </c>
    </row>
    <row r="191" spans="1:9" x14ac:dyDescent="0.25">
      <c r="A191" s="53" t="s">
        <v>416</v>
      </c>
      <c r="B191" s="14" t="s">
        <v>531</v>
      </c>
      <c r="C191" s="60">
        <v>176916</v>
      </c>
      <c r="D191" s="6"/>
      <c r="E191" s="28"/>
      <c r="F191" s="55"/>
      <c r="G191" s="28"/>
      <c r="H191" s="28"/>
      <c r="I191" s="109">
        <f t="shared" si="24"/>
        <v>176916</v>
      </c>
    </row>
    <row r="192" spans="1:9" x14ac:dyDescent="0.25">
      <c r="A192" s="53" t="s">
        <v>417</v>
      </c>
      <c r="B192" s="14" t="s">
        <v>532</v>
      </c>
      <c r="C192" s="60">
        <v>280842</v>
      </c>
      <c r="D192" s="6"/>
      <c r="E192" s="28"/>
      <c r="F192" s="55"/>
      <c r="G192" s="28"/>
      <c r="H192" s="28"/>
      <c r="I192" s="109">
        <f t="shared" si="24"/>
        <v>280842</v>
      </c>
    </row>
    <row r="193" spans="1:9" x14ac:dyDescent="0.25">
      <c r="A193" s="53" t="s">
        <v>418</v>
      </c>
      <c r="B193" s="14" t="s">
        <v>533</v>
      </c>
      <c r="C193" s="60">
        <v>22860</v>
      </c>
      <c r="D193" s="6"/>
      <c r="E193" s="28"/>
      <c r="F193" s="55"/>
      <c r="G193" s="28"/>
      <c r="H193" s="28"/>
      <c r="I193" s="109">
        <f t="shared" si="24"/>
        <v>22860</v>
      </c>
    </row>
    <row r="194" spans="1:9" x14ac:dyDescent="0.25">
      <c r="A194" s="53" t="s">
        <v>419</v>
      </c>
      <c r="B194" s="14" t="s">
        <v>534</v>
      </c>
      <c r="C194" s="60">
        <v>42932</v>
      </c>
      <c r="D194" s="6"/>
      <c r="E194" s="28"/>
      <c r="F194" s="55"/>
      <c r="G194" s="28"/>
      <c r="H194" s="28"/>
      <c r="I194" s="109">
        <f t="shared" si="24"/>
        <v>42932</v>
      </c>
    </row>
    <row r="195" spans="1:9" x14ac:dyDescent="0.25">
      <c r="A195" s="53" t="s">
        <v>420</v>
      </c>
      <c r="B195" s="14" t="s">
        <v>535</v>
      </c>
      <c r="C195" s="60">
        <v>69906</v>
      </c>
      <c r="D195" s="6"/>
      <c r="E195" s="28"/>
      <c r="F195" s="55"/>
      <c r="G195" s="28"/>
      <c r="H195" s="28"/>
      <c r="I195" s="109">
        <f t="shared" si="24"/>
        <v>69906</v>
      </c>
    </row>
    <row r="196" spans="1:9" x14ac:dyDescent="0.25">
      <c r="A196" s="53" t="s">
        <v>421</v>
      </c>
      <c r="B196" s="14" t="s">
        <v>536</v>
      </c>
      <c r="C196" s="60">
        <v>127130</v>
      </c>
      <c r="D196" s="6"/>
      <c r="E196" s="28"/>
      <c r="F196" s="55"/>
      <c r="G196" s="28"/>
      <c r="H196" s="28"/>
      <c r="I196" s="109">
        <f t="shared" si="24"/>
        <v>127130</v>
      </c>
    </row>
    <row r="197" spans="1:9" x14ac:dyDescent="0.25">
      <c r="A197" s="53" t="s">
        <v>431</v>
      </c>
      <c r="B197" s="14" t="s">
        <v>476</v>
      </c>
      <c r="C197" s="75">
        <f>228284+478</f>
        <v>228762</v>
      </c>
      <c r="D197" s="6"/>
      <c r="E197" s="28"/>
      <c r="F197" s="55"/>
      <c r="G197" s="28"/>
      <c r="H197" s="28"/>
      <c r="I197" s="109">
        <f t="shared" si="24"/>
        <v>228762</v>
      </c>
    </row>
    <row r="198" spans="1:9" x14ac:dyDescent="0.25">
      <c r="A198" s="61" t="s">
        <v>432</v>
      </c>
      <c r="B198" s="161" t="s">
        <v>433</v>
      </c>
      <c r="C198" s="162">
        <f>C199</f>
        <v>160901</v>
      </c>
      <c r="D198" s="6"/>
      <c r="E198" s="28"/>
      <c r="F198" s="55"/>
      <c r="G198" s="28"/>
      <c r="H198" s="28"/>
      <c r="I198" s="109">
        <f t="shared" si="24"/>
        <v>160901</v>
      </c>
    </row>
    <row r="199" spans="1:9" x14ac:dyDescent="0.25">
      <c r="A199" s="53" t="s">
        <v>434</v>
      </c>
      <c r="B199" s="14" t="s">
        <v>435</v>
      </c>
      <c r="C199" s="60">
        <f>159901+1000</f>
        <v>160901</v>
      </c>
      <c r="D199" s="6"/>
      <c r="E199" s="28"/>
      <c r="F199" s="55"/>
      <c r="G199" s="28"/>
      <c r="H199" s="28"/>
      <c r="I199" s="109">
        <f t="shared" si="24"/>
        <v>160901</v>
      </c>
    </row>
    <row r="200" spans="1:9" s="2" customFormat="1" ht="14.25" x14ac:dyDescent="0.2">
      <c r="A200" s="134" t="s">
        <v>44</v>
      </c>
      <c r="B200" s="116" t="s">
        <v>118</v>
      </c>
      <c r="C200" s="8">
        <f t="shared" ref="C200:H200" si="30">SUM(C201:C206)</f>
        <v>1051074</v>
      </c>
      <c r="D200" s="8">
        <f t="shared" si="30"/>
        <v>0</v>
      </c>
      <c r="E200" s="8">
        <f t="shared" si="30"/>
        <v>0</v>
      </c>
      <c r="F200" s="8">
        <f t="shared" si="30"/>
        <v>0</v>
      </c>
      <c r="G200" s="32">
        <f t="shared" si="30"/>
        <v>0</v>
      </c>
      <c r="H200" s="8">
        <f t="shared" si="30"/>
        <v>0</v>
      </c>
      <c r="I200" s="109">
        <f t="shared" si="24"/>
        <v>1051074</v>
      </c>
    </row>
    <row r="201" spans="1:9" ht="26.25" x14ac:dyDescent="0.25">
      <c r="A201" s="104" t="s">
        <v>119</v>
      </c>
      <c r="B201" s="208" t="s">
        <v>584</v>
      </c>
      <c r="C201" s="163">
        <f>146750-5000</f>
        <v>141750</v>
      </c>
      <c r="D201" s="6"/>
      <c r="E201" s="28"/>
      <c r="F201" s="6"/>
      <c r="G201" s="28"/>
      <c r="H201" s="28"/>
      <c r="I201" s="109">
        <f t="shared" si="24"/>
        <v>141750</v>
      </c>
    </row>
    <row r="202" spans="1:9" ht="15.75" x14ac:dyDescent="0.25">
      <c r="A202" s="104" t="s">
        <v>120</v>
      </c>
      <c r="B202" s="27" t="s">
        <v>291</v>
      </c>
      <c r="C202" s="164">
        <v>387494</v>
      </c>
      <c r="D202" s="6"/>
      <c r="E202" s="28"/>
      <c r="F202" s="6"/>
      <c r="G202" s="28"/>
      <c r="H202" s="28"/>
      <c r="I202" s="109">
        <f t="shared" si="24"/>
        <v>387494</v>
      </c>
    </row>
    <row r="203" spans="1:9" x14ac:dyDescent="0.25">
      <c r="A203" s="53" t="s">
        <v>585</v>
      </c>
      <c r="B203" s="37" t="s">
        <v>586</v>
      </c>
      <c r="C203" s="60">
        <v>120830</v>
      </c>
      <c r="D203" s="6"/>
      <c r="E203" s="28"/>
      <c r="F203" s="6"/>
      <c r="G203" s="28"/>
      <c r="H203" s="28"/>
      <c r="I203" s="109">
        <f t="shared" ref="I203:I262" si="31">SUM(C203:H203)</f>
        <v>120830</v>
      </c>
    </row>
    <row r="204" spans="1:9" ht="30" x14ac:dyDescent="0.25">
      <c r="A204" s="104" t="s">
        <v>160</v>
      </c>
      <c r="B204" s="37" t="s">
        <v>292</v>
      </c>
      <c r="C204" s="28">
        <v>61000</v>
      </c>
      <c r="D204" s="6"/>
      <c r="E204" s="28"/>
      <c r="F204" s="6"/>
      <c r="G204" s="28"/>
      <c r="H204" s="28"/>
      <c r="I204" s="109">
        <f t="shared" si="31"/>
        <v>61000</v>
      </c>
    </row>
    <row r="205" spans="1:9" ht="33" customHeight="1" x14ac:dyDescent="0.25">
      <c r="A205" s="53" t="s">
        <v>587</v>
      </c>
      <c r="B205" s="37" t="s">
        <v>588</v>
      </c>
      <c r="C205" s="28">
        <v>200000</v>
      </c>
      <c r="D205" s="28"/>
      <c r="E205" s="28"/>
      <c r="F205" s="28"/>
      <c r="G205" s="28"/>
      <c r="H205" s="28"/>
      <c r="I205" s="109">
        <f>SUM(C205:H205)</f>
        <v>200000</v>
      </c>
    </row>
    <row r="206" spans="1:9" ht="45" x14ac:dyDescent="0.25">
      <c r="A206" s="20" t="s">
        <v>589</v>
      </c>
      <c r="B206" s="165" t="s">
        <v>622</v>
      </c>
      <c r="C206" s="28">
        <v>140000</v>
      </c>
      <c r="D206" s="28"/>
      <c r="E206" s="28"/>
      <c r="F206" s="28"/>
      <c r="G206" s="28"/>
      <c r="H206" s="28"/>
      <c r="I206" s="109">
        <f t="shared" si="31"/>
        <v>140000</v>
      </c>
    </row>
    <row r="207" spans="1:9" x14ac:dyDescent="0.25">
      <c r="A207" s="108" t="s">
        <v>181</v>
      </c>
      <c r="B207" s="120" t="s">
        <v>182</v>
      </c>
      <c r="C207" s="32">
        <f t="shared" ref="C207:H207" si="32">SUM(C208:C209)</f>
        <v>350453</v>
      </c>
      <c r="D207" s="28">
        <f t="shared" si="32"/>
        <v>0</v>
      </c>
      <c r="E207" s="28">
        <f t="shared" si="32"/>
        <v>0</v>
      </c>
      <c r="F207" s="28">
        <f t="shared" si="32"/>
        <v>0</v>
      </c>
      <c r="G207" s="28">
        <f t="shared" si="32"/>
        <v>0</v>
      </c>
      <c r="H207" s="28">
        <f t="shared" si="32"/>
        <v>0</v>
      </c>
      <c r="I207" s="109">
        <f t="shared" si="31"/>
        <v>350453</v>
      </c>
    </row>
    <row r="208" spans="1:9" ht="30" x14ac:dyDescent="0.25">
      <c r="A208" s="66" t="s">
        <v>188</v>
      </c>
      <c r="B208" s="27" t="s">
        <v>477</v>
      </c>
      <c r="C208" s="6">
        <v>68475</v>
      </c>
      <c r="D208" s="8"/>
      <c r="E208" s="32"/>
      <c r="F208" s="6"/>
      <c r="G208" s="28"/>
      <c r="H208" s="32"/>
      <c r="I208" s="109">
        <f t="shared" si="31"/>
        <v>68475</v>
      </c>
    </row>
    <row r="209" spans="1:9" x14ac:dyDescent="0.25">
      <c r="A209" s="66" t="s">
        <v>189</v>
      </c>
      <c r="B209" s="24" t="s">
        <v>677</v>
      </c>
      <c r="C209" s="60">
        <v>281978</v>
      </c>
      <c r="D209" s="8"/>
      <c r="E209" s="32"/>
      <c r="F209" s="6"/>
      <c r="G209" s="28"/>
      <c r="H209" s="32"/>
      <c r="I209" s="109">
        <f t="shared" si="31"/>
        <v>281978</v>
      </c>
    </row>
    <row r="210" spans="1:9" ht="43.5" x14ac:dyDescent="0.25">
      <c r="A210" s="166" t="s">
        <v>216</v>
      </c>
      <c r="B210" s="116" t="s">
        <v>211</v>
      </c>
      <c r="C210" s="167">
        <v>25000</v>
      </c>
      <c r="D210" s="8"/>
      <c r="E210" s="32"/>
      <c r="F210" s="6"/>
      <c r="G210" s="28"/>
      <c r="H210" s="32"/>
      <c r="I210" s="109">
        <f t="shared" si="31"/>
        <v>25000</v>
      </c>
    </row>
    <row r="211" spans="1:9" ht="30" thickBot="1" x14ac:dyDescent="0.3">
      <c r="A211" s="19" t="s">
        <v>219</v>
      </c>
      <c r="B211" s="43" t="s">
        <v>220</v>
      </c>
      <c r="C211" s="6"/>
      <c r="D211" s="6"/>
      <c r="E211" s="6"/>
      <c r="F211" s="6"/>
      <c r="G211" s="28"/>
      <c r="H211" s="6"/>
      <c r="I211" s="109">
        <f t="shared" si="31"/>
        <v>0</v>
      </c>
    </row>
    <row r="212" spans="1:9" ht="15.75" thickBot="1" x14ac:dyDescent="0.3">
      <c r="A212" s="168" t="s">
        <v>45</v>
      </c>
      <c r="B212" s="151" t="s">
        <v>0</v>
      </c>
      <c r="C212" s="98">
        <f t="shared" ref="C212:H212" si="33">C213+C228+C230+C249+C260+C268+C269</f>
        <v>67562310</v>
      </c>
      <c r="D212" s="98">
        <f t="shared" si="33"/>
        <v>0</v>
      </c>
      <c r="E212" s="98">
        <f t="shared" si="33"/>
        <v>0</v>
      </c>
      <c r="F212" s="98">
        <f t="shared" si="33"/>
        <v>0</v>
      </c>
      <c r="G212" s="99">
        <f t="shared" si="33"/>
        <v>0</v>
      </c>
      <c r="H212" s="98">
        <f t="shared" si="33"/>
        <v>0</v>
      </c>
      <c r="I212" s="100">
        <f t="shared" si="31"/>
        <v>67562310</v>
      </c>
    </row>
    <row r="213" spans="1:9" x14ac:dyDescent="0.25">
      <c r="A213" s="129" t="s">
        <v>46</v>
      </c>
      <c r="B213" s="130" t="s">
        <v>121</v>
      </c>
      <c r="C213" s="33">
        <f t="shared" ref="C213:H213" si="34">SUM(C214:C227)</f>
        <v>15328899</v>
      </c>
      <c r="D213" s="33">
        <f t="shared" si="34"/>
        <v>0</v>
      </c>
      <c r="E213" s="33">
        <f t="shared" si="34"/>
        <v>0</v>
      </c>
      <c r="F213" s="33">
        <f t="shared" si="34"/>
        <v>0</v>
      </c>
      <c r="G213" s="33">
        <f t="shared" si="34"/>
        <v>0</v>
      </c>
      <c r="H213" s="33">
        <f t="shared" si="34"/>
        <v>0</v>
      </c>
      <c r="I213" s="102">
        <f t="shared" si="31"/>
        <v>15328899</v>
      </c>
    </row>
    <row r="214" spans="1:9" x14ac:dyDescent="0.25">
      <c r="A214" s="104" t="s">
        <v>122</v>
      </c>
      <c r="B214" s="24" t="s">
        <v>47</v>
      </c>
      <c r="C214" s="34">
        <f>1553862+4260</f>
        <v>1558122</v>
      </c>
      <c r="D214" s="28"/>
      <c r="E214" s="28"/>
      <c r="F214" s="6"/>
      <c r="G214" s="28"/>
      <c r="H214" s="28"/>
      <c r="I214" s="109">
        <f t="shared" si="31"/>
        <v>1558122</v>
      </c>
    </row>
    <row r="215" spans="1:9" x14ac:dyDescent="0.25">
      <c r="A215" s="104" t="s">
        <v>123</v>
      </c>
      <c r="B215" s="24" t="s">
        <v>48</v>
      </c>
      <c r="C215" s="34">
        <f>1119687+2852</f>
        <v>1122539</v>
      </c>
      <c r="D215" s="28"/>
      <c r="E215" s="28"/>
      <c r="F215" s="6"/>
      <c r="G215" s="28"/>
      <c r="H215" s="28"/>
      <c r="I215" s="109">
        <f t="shared" si="31"/>
        <v>1122539</v>
      </c>
    </row>
    <row r="216" spans="1:9" x14ac:dyDescent="0.25">
      <c r="A216" s="104" t="s">
        <v>124</v>
      </c>
      <c r="B216" s="24" t="s">
        <v>49</v>
      </c>
      <c r="C216" s="28">
        <f>1112833+2371</f>
        <v>1115204</v>
      </c>
      <c r="D216" s="28"/>
      <c r="E216" s="28"/>
      <c r="F216" s="6"/>
      <c r="G216" s="28"/>
      <c r="H216" s="28"/>
      <c r="I216" s="109">
        <f t="shared" si="31"/>
        <v>1115204</v>
      </c>
    </row>
    <row r="217" spans="1:9" x14ac:dyDescent="0.25">
      <c r="A217" s="104" t="s">
        <v>125</v>
      </c>
      <c r="B217" s="24" t="s">
        <v>50</v>
      </c>
      <c r="C217" s="34">
        <f>1305705+4754</f>
        <v>1310459</v>
      </c>
      <c r="D217" s="28"/>
      <c r="E217" s="28"/>
      <c r="F217" s="6"/>
      <c r="G217" s="28"/>
      <c r="H217" s="28"/>
      <c r="I217" s="109">
        <f t="shared" si="31"/>
        <v>1310459</v>
      </c>
    </row>
    <row r="218" spans="1:9" x14ac:dyDescent="0.25">
      <c r="A218" s="104" t="s">
        <v>126</v>
      </c>
      <c r="B218" s="24" t="s">
        <v>51</v>
      </c>
      <c r="C218" s="34">
        <f>659375+5600+1340</f>
        <v>666315</v>
      </c>
      <c r="D218" s="28"/>
      <c r="E218" s="28"/>
      <c r="F218" s="6"/>
      <c r="G218" s="28"/>
      <c r="H218" s="28"/>
      <c r="I218" s="109">
        <f t="shared" si="31"/>
        <v>666315</v>
      </c>
    </row>
    <row r="219" spans="1:9" x14ac:dyDescent="0.25">
      <c r="A219" s="104" t="s">
        <v>127</v>
      </c>
      <c r="B219" s="24" t="s">
        <v>61</v>
      </c>
      <c r="C219" s="34">
        <f>1480312+3779</f>
        <v>1484091</v>
      </c>
      <c r="D219" s="28"/>
      <c r="E219" s="28"/>
      <c r="F219" s="6"/>
      <c r="G219" s="28"/>
      <c r="H219" s="28"/>
      <c r="I219" s="109">
        <f t="shared" si="31"/>
        <v>1484091</v>
      </c>
    </row>
    <row r="220" spans="1:9" x14ac:dyDescent="0.25">
      <c r="A220" s="104" t="s">
        <v>128</v>
      </c>
      <c r="B220" s="24" t="s">
        <v>65</v>
      </c>
      <c r="C220" s="34">
        <f>787818+2268</f>
        <v>790086</v>
      </c>
      <c r="D220" s="28"/>
      <c r="E220" s="28"/>
      <c r="F220" s="6"/>
      <c r="G220" s="28"/>
      <c r="H220" s="28"/>
      <c r="I220" s="109">
        <f t="shared" si="31"/>
        <v>790086</v>
      </c>
    </row>
    <row r="221" spans="1:9" x14ac:dyDescent="0.25">
      <c r="A221" s="104" t="s">
        <v>129</v>
      </c>
      <c r="B221" s="24" t="s">
        <v>66</v>
      </c>
      <c r="C221" s="28">
        <f>667505+1477</f>
        <v>668982</v>
      </c>
      <c r="D221" s="28"/>
      <c r="E221" s="28"/>
      <c r="F221" s="6"/>
      <c r="G221" s="28"/>
      <c r="H221" s="28"/>
      <c r="I221" s="109">
        <f t="shared" si="31"/>
        <v>668982</v>
      </c>
    </row>
    <row r="222" spans="1:9" ht="30" x14ac:dyDescent="0.25">
      <c r="A222" s="104" t="s">
        <v>130</v>
      </c>
      <c r="B222" s="24" t="s">
        <v>206</v>
      </c>
      <c r="C222" s="28">
        <f>920000-16357</f>
        <v>903643</v>
      </c>
      <c r="D222" s="28"/>
      <c r="E222" s="28"/>
      <c r="F222" s="6"/>
      <c r="G222" s="28"/>
      <c r="H222" s="28"/>
      <c r="I222" s="109">
        <f t="shared" si="31"/>
        <v>903643</v>
      </c>
    </row>
    <row r="223" spans="1:9" x14ac:dyDescent="0.25">
      <c r="A223" s="53" t="s">
        <v>293</v>
      </c>
      <c r="B223" s="24" t="s">
        <v>221</v>
      </c>
      <c r="C223" s="34">
        <f>1662024+4845</f>
        <v>1666869</v>
      </c>
      <c r="D223" s="28"/>
      <c r="E223" s="28"/>
      <c r="F223" s="6"/>
      <c r="G223" s="28"/>
      <c r="H223" s="28"/>
      <c r="I223" s="109">
        <f t="shared" si="31"/>
        <v>1666869</v>
      </c>
    </row>
    <row r="224" spans="1:9" x14ac:dyDescent="0.25">
      <c r="A224" s="53" t="s">
        <v>294</v>
      </c>
      <c r="B224" s="24" t="s">
        <v>222</v>
      </c>
      <c r="C224" s="34">
        <f>982227+3436</f>
        <v>985663</v>
      </c>
      <c r="D224" s="28"/>
      <c r="E224" s="28"/>
      <c r="F224" s="6"/>
      <c r="G224" s="28"/>
      <c r="H224" s="28"/>
      <c r="I224" s="109">
        <f t="shared" si="31"/>
        <v>985663</v>
      </c>
    </row>
    <row r="225" spans="1:9" x14ac:dyDescent="0.25">
      <c r="A225" s="53" t="s">
        <v>295</v>
      </c>
      <c r="B225" s="24" t="s">
        <v>296</v>
      </c>
      <c r="C225" s="34">
        <f>1178999+3127</f>
        <v>1182126</v>
      </c>
      <c r="D225" s="28"/>
      <c r="E225" s="28"/>
      <c r="F225" s="6"/>
      <c r="G225" s="28"/>
      <c r="H225" s="28"/>
      <c r="I225" s="109">
        <f t="shared" si="31"/>
        <v>1182126</v>
      </c>
    </row>
    <row r="226" spans="1:9" x14ac:dyDescent="0.25">
      <c r="A226" s="53" t="s">
        <v>297</v>
      </c>
      <c r="B226" s="24" t="s">
        <v>298</v>
      </c>
      <c r="C226" s="34">
        <f>487106+481</f>
        <v>487587</v>
      </c>
      <c r="D226" s="28"/>
      <c r="E226" s="28"/>
      <c r="F226" s="6"/>
      <c r="G226" s="28"/>
      <c r="H226" s="28"/>
      <c r="I226" s="109">
        <f t="shared" si="31"/>
        <v>487587</v>
      </c>
    </row>
    <row r="227" spans="1:9" x14ac:dyDescent="0.25">
      <c r="A227" s="53" t="s">
        <v>299</v>
      </c>
      <c r="B227" s="24" t="s">
        <v>300</v>
      </c>
      <c r="C227" s="28">
        <f>1383605+3608</f>
        <v>1387213</v>
      </c>
      <c r="D227" s="28"/>
      <c r="E227" s="28"/>
      <c r="F227" s="6"/>
      <c r="G227" s="28"/>
      <c r="H227" s="28"/>
      <c r="I227" s="109">
        <f t="shared" si="31"/>
        <v>1387213</v>
      </c>
    </row>
    <row r="228" spans="1:9" x14ac:dyDescent="0.25">
      <c r="A228" s="134" t="s">
        <v>52</v>
      </c>
      <c r="B228" s="116" t="s">
        <v>131</v>
      </c>
      <c r="C228" s="32">
        <f t="shared" ref="C228:H228" si="35">SUM(C229:C229)</f>
        <v>1336326</v>
      </c>
      <c r="D228" s="32">
        <f t="shared" si="35"/>
        <v>0</v>
      </c>
      <c r="E228" s="32">
        <f t="shared" si="35"/>
        <v>0</v>
      </c>
      <c r="F228" s="32">
        <f t="shared" si="35"/>
        <v>0</v>
      </c>
      <c r="G228" s="32">
        <f t="shared" si="35"/>
        <v>0</v>
      </c>
      <c r="H228" s="32">
        <f t="shared" si="35"/>
        <v>0</v>
      </c>
      <c r="I228" s="109">
        <f t="shared" si="31"/>
        <v>1336326</v>
      </c>
    </row>
    <row r="229" spans="1:9" x14ac:dyDescent="0.25">
      <c r="A229" s="53" t="s">
        <v>301</v>
      </c>
      <c r="B229" s="14" t="s">
        <v>232</v>
      </c>
      <c r="C229" s="28">
        <f>1325727+10599</f>
        <v>1336326</v>
      </c>
      <c r="D229" s="28"/>
      <c r="E229" s="28"/>
      <c r="F229" s="55"/>
      <c r="G229" s="28"/>
      <c r="H229" s="28"/>
      <c r="I229" s="109">
        <f t="shared" si="31"/>
        <v>1336326</v>
      </c>
    </row>
    <row r="230" spans="1:9" ht="29.25" x14ac:dyDescent="0.25">
      <c r="A230" s="134" t="s">
        <v>69</v>
      </c>
      <c r="B230" s="116" t="s">
        <v>132</v>
      </c>
      <c r="C230" s="32">
        <f t="shared" ref="C230:H230" si="36">SUM(C231:C248)</f>
        <v>25198903</v>
      </c>
      <c r="D230" s="32">
        <f t="shared" si="36"/>
        <v>0</v>
      </c>
      <c r="E230" s="32">
        <f t="shared" si="36"/>
        <v>0</v>
      </c>
      <c r="F230" s="32">
        <f t="shared" si="36"/>
        <v>0</v>
      </c>
      <c r="G230" s="32">
        <f t="shared" si="36"/>
        <v>0</v>
      </c>
      <c r="H230" s="32">
        <f t="shared" si="36"/>
        <v>0</v>
      </c>
      <c r="I230" s="109">
        <f>SUM(C230:H230)</f>
        <v>25198903</v>
      </c>
    </row>
    <row r="231" spans="1:9" x14ac:dyDescent="0.25">
      <c r="A231" s="104" t="s">
        <v>133</v>
      </c>
      <c r="B231" s="24" t="s">
        <v>455</v>
      </c>
      <c r="C231" s="34">
        <f>2964884+40026+5000</f>
        <v>3009910</v>
      </c>
      <c r="D231" s="6"/>
      <c r="E231" s="28"/>
      <c r="F231" s="6"/>
      <c r="G231" s="28"/>
      <c r="H231" s="28"/>
      <c r="I231" s="109">
        <f t="shared" si="31"/>
        <v>3009910</v>
      </c>
    </row>
    <row r="232" spans="1:9" x14ac:dyDescent="0.25">
      <c r="A232" s="104" t="s">
        <v>134</v>
      </c>
      <c r="B232" s="24" t="s">
        <v>478</v>
      </c>
      <c r="C232" s="28">
        <f>2322424+23431</f>
        <v>2345855</v>
      </c>
      <c r="D232" s="6"/>
      <c r="E232" s="28"/>
      <c r="F232" s="6"/>
      <c r="G232" s="28"/>
      <c r="H232" s="28"/>
      <c r="I232" s="109">
        <f t="shared" si="31"/>
        <v>2345855</v>
      </c>
    </row>
    <row r="233" spans="1:9" x14ac:dyDescent="0.25">
      <c r="A233" s="104" t="s">
        <v>135</v>
      </c>
      <c r="B233" s="24" t="s">
        <v>453</v>
      </c>
      <c r="C233" s="34">
        <f>1229525+17760</f>
        <v>1247285</v>
      </c>
      <c r="D233" s="6"/>
      <c r="E233" s="28"/>
      <c r="F233" s="6"/>
      <c r="G233" s="28"/>
      <c r="H233" s="28"/>
      <c r="I233" s="109">
        <f t="shared" si="31"/>
        <v>1247285</v>
      </c>
    </row>
    <row r="234" spans="1:9" x14ac:dyDescent="0.25">
      <c r="A234" s="104" t="s">
        <v>136</v>
      </c>
      <c r="B234" s="24" t="s">
        <v>302</v>
      </c>
      <c r="C234" s="34">
        <f>643061+5084</f>
        <v>648145</v>
      </c>
      <c r="D234" s="6"/>
      <c r="E234" s="28"/>
      <c r="F234" s="6"/>
      <c r="G234" s="28"/>
      <c r="H234" s="28"/>
      <c r="I234" s="109">
        <f t="shared" si="31"/>
        <v>648145</v>
      </c>
    </row>
    <row r="235" spans="1:9" x14ac:dyDescent="0.25">
      <c r="A235" s="104" t="s">
        <v>137</v>
      </c>
      <c r="B235" s="24" t="s">
        <v>67</v>
      </c>
      <c r="C235" s="34">
        <f>538885+2130</f>
        <v>541015</v>
      </c>
      <c r="D235" s="6"/>
      <c r="E235" s="28"/>
      <c r="F235" s="6"/>
      <c r="G235" s="28"/>
      <c r="H235" s="28"/>
      <c r="I235" s="109">
        <f t="shared" si="31"/>
        <v>541015</v>
      </c>
    </row>
    <row r="236" spans="1:9" x14ac:dyDescent="0.25">
      <c r="A236" s="104" t="s">
        <v>138</v>
      </c>
      <c r="B236" s="24" t="s">
        <v>68</v>
      </c>
      <c r="C236" s="28">
        <f>874592+15627</f>
        <v>890219</v>
      </c>
      <c r="D236" s="6"/>
      <c r="E236" s="28"/>
      <c r="F236" s="6"/>
      <c r="G236" s="28"/>
      <c r="H236" s="28"/>
      <c r="I236" s="109">
        <f t="shared" si="31"/>
        <v>890219</v>
      </c>
    </row>
    <row r="237" spans="1:9" x14ac:dyDescent="0.25">
      <c r="A237" s="104" t="s">
        <v>139</v>
      </c>
      <c r="B237" s="24" t="s">
        <v>157</v>
      </c>
      <c r="C237" s="28">
        <f>786975+3572</f>
        <v>790547</v>
      </c>
      <c r="D237" s="6"/>
      <c r="E237" s="28"/>
      <c r="F237" s="6"/>
      <c r="G237" s="28"/>
      <c r="H237" s="28"/>
      <c r="I237" s="109">
        <f t="shared" si="31"/>
        <v>790547</v>
      </c>
    </row>
    <row r="238" spans="1:9" x14ac:dyDescent="0.25">
      <c r="A238" s="104" t="s">
        <v>140</v>
      </c>
      <c r="B238" s="24" t="s">
        <v>454</v>
      </c>
      <c r="C238" s="28">
        <f>1429900+7076</f>
        <v>1436976</v>
      </c>
      <c r="D238" s="6"/>
      <c r="E238" s="28"/>
      <c r="F238" s="6"/>
      <c r="G238" s="28"/>
      <c r="H238" s="28"/>
      <c r="I238" s="109">
        <f t="shared" si="31"/>
        <v>1436976</v>
      </c>
    </row>
    <row r="239" spans="1:9" ht="30" x14ac:dyDescent="0.25">
      <c r="A239" s="53" t="s">
        <v>213</v>
      </c>
      <c r="B239" s="24" t="s">
        <v>212</v>
      </c>
      <c r="C239" s="28">
        <v>227247</v>
      </c>
      <c r="D239" s="28"/>
      <c r="E239" s="28"/>
      <c r="F239" s="169"/>
      <c r="G239" s="28"/>
      <c r="H239" s="28"/>
      <c r="I239" s="109">
        <f t="shared" si="31"/>
        <v>227247</v>
      </c>
    </row>
    <row r="240" spans="1:9" x14ac:dyDescent="0.25">
      <c r="A240" s="53" t="s">
        <v>303</v>
      </c>
      <c r="B240" s="24" t="s">
        <v>590</v>
      </c>
      <c r="C240" s="28">
        <f>1347615+14345</f>
        <v>1361960</v>
      </c>
      <c r="D240" s="28"/>
      <c r="E240" s="28"/>
      <c r="F240" s="55"/>
      <c r="G240" s="28"/>
      <c r="H240" s="28"/>
      <c r="I240" s="109">
        <f t="shared" si="31"/>
        <v>1361960</v>
      </c>
    </row>
    <row r="241" spans="1:9" x14ac:dyDescent="0.25">
      <c r="A241" s="53" t="s">
        <v>304</v>
      </c>
      <c r="B241" s="24" t="s">
        <v>305</v>
      </c>
      <c r="C241" s="28">
        <f>583954+3847</f>
        <v>587801</v>
      </c>
      <c r="D241" s="28"/>
      <c r="E241" s="28"/>
      <c r="F241" s="55"/>
      <c r="G241" s="28"/>
      <c r="H241" s="28"/>
      <c r="I241" s="109">
        <f t="shared" si="31"/>
        <v>587801</v>
      </c>
    </row>
    <row r="242" spans="1:9" x14ac:dyDescent="0.25">
      <c r="A242" s="53" t="s">
        <v>306</v>
      </c>
      <c r="B242" s="24" t="s">
        <v>307</v>
      </c>
      <c r="C242" s="28">
        <f>1607626+12780</f>
        <v>1620406</v>
      </c>
      <c r="D242" s="28"/>
      <c r="E242" s="28"/>
      <c r="F242" s="55"/>
      <c r="G242" s="28"/>
      <c r="H242" s="28"/>
      <c r="I242" s="109">
        <f t="shared" si="31"/>
        <v>1620406</v>
      </c>
    </row>
    <row r="243" spans="1:9" x14ac:dyDescent="0.25">
      <c r="A243" s="53" t="s">
        <v>308</v>
      </c>
      <c r="B243" s="24" t="s">
        <v>309</v>
      </c>
      <c r="C243" s="28">
        <f>912977+4019</f>
        <v>916996</v>
      </c>
      <c r="D243" s="28"/>
      <c r="E243" s="28"/>
      <c r="F243" s="55"/>
      <c r="G243" s="28"/>
      <c r="H243" s="28"/>
      <c r="I243" s="109">
        <f t="shared" si="31"/>
        <v>916996</v>
      </c>
    </row>
    <row r="244" spans="1:9" x14ac:dyDescent="0.25">
      <c r="A244" s="53" t="s">
        <v>310</v>
      </c>
      <c r="B244" s="24" t="s">
        <v>226</v>
      </c>
      <c r="C244" s="34">
        <f>1091495+4809</f>
        <v>1096304</v>
      </c>
      <c r="D244" s="28"/>
      <c r="E244" s="28"/>
      <c r="F244" s="55"/>
      <c r="G244" s="28"/>
      <c r="H244" s="28"/>
      <c r="I244" s="109">
        <f t="shared" si="31"/>
        <v>1096304</v>
      </c>
    </row>
    <row r="245" spans="1:9" x14ac:dyDescent="0.25">
      <c r="A245" s="53" t="s">
        <v>311</v>
      </c>
      <c r="B245" s="24" t="s">
        <v>227</v>
      </c>
      <c r="C245" s="28">
        <f>614623+152</f>
        <v>614775</v>
      </c>
      <c r="D245" s="28"/>
      <c r="E245" s="28"/>
      <c r="F245" s="55"/>
      <c r="G245" s="28"/>
      <c r="H245" s="28"/>
      <c r="I245" s="109">
        <f t="shared" si="31"/>
        <v>614775</v>
      </c>
    </row>
    <row r="246" spans="1:9" x14ac:dyDescent="0.25">
      <c r="A246" s="53" t="s">
        <v>312</v>
      </c>
      <c r="B246" s="24" t="s">
        <v>340</v>
      </c>
      <c r="C246" s="28">
        <f>1513551+18278</f>
        <v>1531829</v>
      </c>
      <c r="D246" s="28"/>
      <c r="E246" s="28"/>
      <c r="F246" s="55"/>
      <c r="G246" s="28"/>
      <c r="H246" s="28"/>
      <c r="I246" s="109">
        <f t="shared" si="31"/>
        <v>1531829</v>
      </c>
    </row>
    <row r="247" spans="1:9" x14ac:dyDescent="0.25">
      <c r="A247" s="53" t="s">
        <v>313</v>
      </c>
      <c r="B247" s="24" t="s">
        <v>233</v>
      </c>
      <c r="C247" s="34">
        <f>3028819+44081</f>
        <v>3072900</v>
      </c>
      <c r="D247" s="28"/>
      <c r="E247" s="28"/>
      <c r="F247" s="7"/>
      <c r="G247" s="28"/>
      <c r="H247" s="28"/>
      <c r="I247" s="109">
        <f t="shared" si="31"/>
        <v>3072900</v>
      </c>
    </row>
    <row r="248" spans="1:9" x14ac:dyDescent="0.25">
      <c r="A248" s="53" t="s">
        <v>345</v>
      </c>
      <c r="B248" s="24" t="s">
        <v>346</v>
      </c>
      <c r="C248" s="34">
        <f>3212797+45936</f>
        <v>3258733</v>
      </c>
      <c r="D248" s="28"/>
      <c r="E248" s="28"/>
      <c r="F248" s="169"/>
      <c r="G248" s="28"/>
      <c r="H248" s="28"/>
      <c r="I248" s="109">
        <f t="shared" si="31"/>
        <v>3258733</v>
      </c>
    </row>
    <row r="249" spans="1:9" x14ac:dyDescent="0.25">
      <c r="A249" s="134" t="s">
        <v>53</v>
      </c>
      <c r="B249" s="120" t="s">
        <v>54</v>
      </c>
      <c r="C249" s="32">
        <f t="shared" ref="C249:H249" si="37">SUM(C250:C259)</f>
        <v>7941621</v>
      </c>
      <c r="D249" s="32">
        <f t="shared" si="37"/>
        <v>0</v>
      </c>
      <c r="E249" s="32">
        <f t="shared" si="37"/>
        <v>0</v>
      </c>
      <c r="F249" s="32">
        <f t="shared" si="37"/>
        <v>0</v>
      </c>
      <c r="G249" s="32">
        <f t="shared" si="37"/>
        <v>0</v>
      </c>
      <c r="H249" s="32">
        <f t="shared" si="37"/>
        <v>0</v>
      </c>
      <c r="I249" s="109">
        <f t="shared" si="31"/>
        <v>7941621</v>
      </c>
    </row>
    <row r="250" spans="1:9" x14ac:dyDescent="0.25">
      <c r="A250" s="104" t="s">
        <v>141</v>
      </c>
      <c r="B250" s="24" t="s">
        <v>537</v>
      </c>
      <c r="C250" s="28">
        <f>2340395+210</f>
        <v>2340605</v>
      </c>
      <c r="D250" s="6"/>
      <c r="E250" s="28"/>
      <c r="F250" s="6"/>
      <c r="G250" s="28"/>
      <c r="H250" s="28"/>
      <c r="I250" s="109">
        <f t="shared" si="31"/>
        <v>2340605</v>
      </c>
    </row>
    <row r="251" spans="1:9" x14ac:dyDescent="0.25">
      <c r="A251" s="104" t="s">
        <v>142</v>
      </c>
      <c r="B251" s="24" t="s">
        <v>538</v>
      </c>
      <c r="C251" s="34">
        <f>658804+108674+84</f>
        <v>767562</v>
      </c>
      <c r="D251" s="6"/>
      <c r="E251" s="28"/>
      <c r="F251" s="6"/>
      <c r="G251" s="28"/>
      <c r="H251" s="28"/>
      <c r="I251" s="109">
        <f t="shared" si="31"/>
        <v>767562</v>
      </c>
    </row>
    <row r="252" spans="1:9" x14ac:dyDescent="0.25">
      <c r="A252" s="104" t="s">
        <v>143</v>
      </c>
      <c r="B252" s="24" t="s">
        <v>228</v>
      </c>
      <c r="C252" s="16">
        <f>624115+45</f>
        <v>624160</v>
      </c>
      <c r="D252" s="6"/>
      <c r="E252" s="28"/>
      <c r="F252" s="6"/>
      <c r="G252" s="28"/>
      <c r="H252" s="28"/>
      <c r="I252" s="109">
        <f t="shared" si="31"/>
        <v>624160</v>
      </c>
    </row>
    <row r="253" spans="1:9" x14ac:dyDescent="0.25">
      <c r="A253" s="104" t="s">
        <v>144</v>
      </c>
      <c r="B253" s="24" t="s">
        <v>539</v>
      </c>
      <c r="C253" s="6">
        <v>322757</v>
      </c>
      <c r="D253" s="6"/>
      <c r="E253" s="28"/>
      <c r="F253" s="6"/>
      <c r="G253" s="28"/>
      <c r="H253" s="28"/>
      <c r="I253" s="109">
        <f t="shared" si="31"/>
        <v>322757</v>
      </c>
    </row>
    <row r="254" spans="1:9" x14ac:dyDescent="0.25">
      <c r="A254" s="104" t="s">
        <v>209</v>
      </c>
      <c r="B254" s="24" t="s">
        <v>210</v>
      </c>
      <c r="C254" s="6">
        <f>1907275+4500+24000</f>
        <v>1935775</v>
      </c>
      <c r="D254" s="6"/>
      <c r="E254" s="28"/>
      <c r="F254" s="6"/>
      <c r="G254" s="28"/>
      <c r="H254" s="28"/>
      <c r="I254" s="109">
        <f t="shared" si="31"/>
        <v>1935775</v>
      </c>
    </row>
    <row r="255" spans="1:9" x14ac:dyDescent="0.25">
      <c r="A255" s="104" t="s">
        <v>314</v>
      </c>
      <c r="B255" s="24" t="s">
        <v>331</v>
      </c>
      <c r="C255" s="16">
        <v>298685</v>
      </c>
      <c r="D255" s="6"/>
      <c r="E255" s="28"/>
      <c r="F255" s="6"/>
      <c r="G255" s="28"/>
      <c r="H255" s="28"/>
      <c r="I255" s="109">
        <f t="shared" si="31"/>
        <v>298685</v>
      </c>
    </row>
    <row r="256" spans="1:9" x14ac:dyDescent="0.25">
      <c r="A256" s="104" t="s">
        <v>315</v>
      </c>
      <c r="B256" s="24" t="s">
        <v>229</v>
      </c>
      <c r="C256" s="16">
        <f>687919+3565</f>
        <v>691484</v>
      </c>
      <c r="D256" s="6"/>
      <c r="E256" s="28"/>
      <c r="F256" s="6"/>
      <c r="G256" s="28"/>
      <c r="H256" s="28"/>
      <c r="I256" s="109">
        <f t="shared" si="31"/>
        <v>691484</v>
      </c>
    </row>
    <row r="257" spans="1:9" x14ac:dyDescent="0.25">
      <c r="A257" s="104" t="s">
        <v>316</v>
      </c>
      <c r="B257" s="24" t="s">
        <v>234</v>
      </c>
      <c r="C257" s="16">
        <f>763372+7815</f>
        <v>771187</v>
      </c>
      <c r="D257" s="6"/>
      <c r="E257" s="28"/>
      <c r="F257" s="6"/>
      <c r="G257" s="28"/>
      <c r="H257" s="28"/>
      <c r="I257" s="109">
        <f t="shared" si="31"/>
        <v>771187</v>
      </c>
    </row>
    <row r="258" spans="1:9" ht="30" x14ac:dyDescent="0.25">
      <c r="A258" s="53" t="s">
        <v>427</v>
      </c>
      <c r="B258" s="24" t="s">
        <v>235</v>
      </c>
      <c r="C258" s="6">
        <v>56000</v>
      </c>
      <c r="D258" s="6"/>
      <c r="E258" s="28"/>
      <c r="F258" s="6"/>
      <c r="G258" s="28"/>
      <c r="H258" s="28"/>
      <c r="I258" s="109">
        <f>SUM(C258:H258)</f>
        <v>56000</v>
      </c>
    </row>
    <row r="259" spans="1:9" x14ac:dyDescent="0.25">
      <c r="A259" s="53" t="s">
        <v>591</v>
      </c>
      <c r="B259" s="24" t="s">
        <v>592</v>
      </c>
      <c r="C259" s="6">
        <v>133406</v>
      </c>
      <c r="D259" s="6"/>
      <c r="E259" s="28"/>
      <c r="F259" s="6"/>
      <c r="G259" s="28"/>
      <c r="H259" s="28"/>
      <c r="I259" s="109">
        <f t="shared" si="31"/>
        <v>133406</v>
      </c>
    </row>
    <row r="260" spans="1:9" x14ac:dyDescent="0.25">
      <c r="A260" s="134" t="s">
        <v>70</v>
      </c>
      <c r="B260" s="116" t="s">
        <v>71</v>
      </c>
      <c r="C260" s="8">
        <f>SUM(C261+C263+C267)</f>
        <v>3193462</v>
      </c>
      <c r="D260" s="8">
        <f t="shared" ref="D260:I260" si="38">SUM(D261+D263+D267)</f>
        <v>0</v>
      </c>
      <c r="E260" s="8">
        <f t="shared" si="38"/>
        <v>0</v>
      </c>
      <c r="F260" s="8">
        <f t="shared" si="38"/>
        <v>0</v>
      </c>
      <c r="G260" s="8">
        <f t="shared" si="38"/>
        <v>0</v>
      </c>
      <c r="H260" s="8">
        <f t="shared" si="38"/>
        <v>0</v>
      </c>
      <c r="I260" s="8">
        <f t="shared" si="38"/>
        <v>3193462</v>
      </c>
    </row>
    <row r="261" spans="1:9" x14ac:dyDescent="0.25">
      <c r="A261" s="61" t="s">
        <v>317</v>
      </c>
      <c r="B261" s="161" t="s">
        <v>318</v>
      </c>
      <c r="C261" s="38">
        <f t="shared" ref="C261:H261" si="39">C262</f>
        <v>682804</v>
      </c>
      <c r="D261" s="38">
        <f t="shared" si="39"/>
        <v>0</v>
      </c>
      <c r="E261" s="38">
        <f t="shared" si="39"/>
        <v>0</v>
      </c>
      <c r="F261" s="32">
        <f t="shared" si="39"/>
        <v>0</v>
      </c>
      <c r="G261" s="32">
        <f t="shared" si="39"/>
        <v>0</v>
      </c>
      <c r="H261" s="32">
        <f t="shared" si="39"/>
        <v>0</v>
      </c>
      <c r="I261" s="109">
        <f t="shared" si="31"/>
        <v>682804</v>
      </c>
    </row>
    <row r="262" spans="1:9" x14ac:dyDescent="0.25">
      <c r="A262" s="53" t="s">
        <v>319</v>
      </c>
      <c r="B262" s="14" t="s">
        <v>318</v>
      </c>
      <c r="C262" s="28">
        <v>682804</v>
      </c>
      <c r="D262" s="34"/>
      <c r="E262" s="34"/>
      <c r="F262" s="16"/>
      <c r="G262" s="28"/>
      <c r="H262" s="34"/>
      <c r="I262" s="109">
        <f t="shared" si="31"/>
        <v>682804</v>
      </c>
    </row>
    <row r="263" spans="1:9" x14ac:dyDescent="0.25">
      <c r="A263" s="61" t="s">
        <v>320</v>
      </c>
      <c r="B263" s="161" t="s">
        <v>321</v>
      </c>
      <c r="C263" s="32">
        <f t="shared" ref="C263:H263" si="40">SUM(C264+C265+C266)</f>
        <v>2503658</v>
      </c>
      <c r="D263" s="32">
        <f t="shared" si="40"/>
        <v>0</v>
      </c>
      <c r="E263" s="32">
        <f t="shared" si="40"/>
        <v>0</v>
      </c>
      <c r="F263" s="32">
        <f t="shared" si="40"/>
        <v>0</v>
      </c>
      <c r="G263" s="32">
        <f t="shared" si="40"/>
        <v>0</v>
      </c>
      <c r="H263" s="32">
        <f t="shared" si="40"/>
        <v>0</v>
      </c>
      <c r="I263" s="109">
        <f t="shared" ref="I263:I268" si="41">SUM(C263:H263)</f>
        <v>2503658</v>
      </c>
    </row>
    <row r="264" spans="1:9" x14ac:dyDescent="0.25">
      <c r="A264" s="53" t="s">
        <v>322</v>
      </c>
      <c r="B264" s="14" t="s">
        <v>323</v>
      </c>
      <c r="C264" s="28">
        <v>590000</v>
      </c>
      <c r="D264" s="28"/>
      <c r="E264" s="28"/>
      <c r="F264" s="6"/>
      <c r="G264" s="28"/>
      <c r="H264" s="28"/>
      <c r="I264" s="109">
        <f t="shared" si="41"/>
        <v>590000</v>
      </c>
    </row>
    <row r="265" spans="1:9" x14ac:dyDescent="0.25">
      <c r="A265" s="53" t="s">
        <v>324</v>
      </c>
      <c r="B265" s="14" t="s">
        <v>325</v>
      </c>
      <c r="C265" s="28">
        <v>1908380</v>
      </c>
      <c r="D265" s="170"/>
      <c r="E265" s="28"/>
      <c r="F265" s="6"/>
      <c r="G265" s="28"/>
      <c r="H265" s="28"/>
      <c r="I265" s="109">
        <f t="shared" si="41"/>
        <v>1908380</v>
      </c>
    </row>
    <row r="266" spans="1:9" x14ac:dyDescent="0.25">
      <c r="A266" s="53" t="s">
        <v>443</v>
      </c>
      <c r="B266" s="14" t="s">
        <v>351</v>
      </c>
      <c r="C266" s="28">
        <v>5278</v>
      </c>
      <c r="D266" s="76"/>
      <c r="E266" s="28"/>
      <c r="F266" s="6"/>
      <c r="G266" s="28"/>
      <c r="H266" s="28"/>
      <c r="I266" s="109">
        <f t="shared" si="41"/>
        <v>5278</v>
      </c>
    </row>
    <row r="267" spans="1:9" x14ac:dyDescent="0.25">
      <c r="A267" s="53" t="s">
        <v>326</v>
      </c>
      <c r="B267" s="14" t="s">
        <v>327</v>
      </c>
      <c r="C267" s="28">
        <f>4000+3000</f>
        <v>7000</v>
      </c>
      <c r="D267" s="28"/>
      <c r="E267" s="28"/>
      <c r="F267" s="6"/>
      <c r="G267" s="28"/>
      <c r="H267" s="28"/>
      <c r="I267" s="109">
        <f t="shared" si="41"/>
        <v>7000</v>
      </c>
    </row>
    <row r="268" spans="1:9" ht="29.25" x14ac:dyDescent="0.25">
      <c r="A268" s="61" t="s">
        <v>179</v>
      </c>
      <c r="B268" s="116" t="s">
        <v>540</v>
      </c>
      <c r="C268" s="32">
        <f>932583+10866</f>
        <v>943449</v>
      </c>
      <c r="D268" s="32"/>
      <c r="E268" s="32"/>
      <c r="F268" s="8"/>
      <c r="G268" s="32"/>
      <c r="H268" s="32"/>
      <c r="I268" s="109">
        <f t="shared" si="41"/>
        <v>943449</v>
      </c>
    </row>
    <row r="269" spans="1:9" ht="33.75" customHeight="1" thickBot="1" x14ac:dyDescent="0.3">
      <c r="A269" s="171" t="s">
        <v>55</v>
      </c>
      <c r="B269" s="172" t="s">
        <v>145</v>
      </c>
      <c r="C269" s="207">
        <f>SUM(C270:C315)</f>
        <v>13619650</v>
      </c>
      <c r="D269" s="207">
        <f>SUM(D270:D313)</f>
        <v>0</v>
      </c>
      <c r="E269" s="207">
        <f>SUM(E270:E313)</f>
        <v>0</v>
      </c>
      <c r="F269" s="207">
        <f>SUM(F270:F313)</f>
        <v>0</v>
      </c>
      <c r="G269" s="207">
        <f>SUM(G270:G313)</f>
        <v>0</v>
      </c>
      <c r="H269" s="207">
        <f>SUM(H270:H313)</f>
        <v>0</v>
      </c>
      <c r="I269" s="105">
        <f>SUM(I270:I315)</f>
        <v>13619650</v>
      </c>
    </row>
    <row r="270" spans="1:9" ht="27.75" customHeight="1" x14ac:dyDescent="0.25">
      <c r="A270" s="155" t="s">
        <v>625</v>
      </c>
      <c r="B270" s="64" t="s">
        <v>626</v>
      </c>
      <c r="C270" s="6">
        <v>37310</v>
      </c>
      <c r="D270" s="8"/>
      <c r="E270" s="8"/>
      <c r="F270" s="8"/>
      <c r="G270" s="8"/>
      <c r="H270" s="8"/>
      <c r="I270" s="109">
        <f t="shared" ref="I270:I334" si="42">SUM(C270:H270)</f>
        <v>37310</v>
      </c>
    </row>
    <row r="271" spans="1:9" ht="27.75" customHeight="1" x14ac:dyDescent="0.25">
      <c r="A271" s="13" t="s">
        <v>627</v>
      </c>
      <c r="B271" s="64" t="s">
        <v>628</v>
      </c>
      <c r="C271" s="6">
        <v>15660</v>
      </c>
      <c r="D271" s="8"/>
      <c r="E271" s="8"/>
      <c r="F271" s="8"/>
      <c r="G271" s="8"/>
      <c r="H271" s="8"/>
      <c r="I271" s="109">
        <f t="shared" si="42"/>
        <v>15660</v>
      </c>
    </row>
    <row r="272" spans="1:9" ht="15.75" x14ac:dyDescent="0.25">
      <c r="A272" s="21" t="s">
        <v>200</v>
      </c>
      <c r="B272" s="77" t="s">
        <v>201</v>
      </c>
      <c r="C272" s="6">
        <v>145000</v>
      </c>
      <c r="D272" s="8"/>
      <c r="E272" s="8"/>
      <c r="F272" s="8"/>
      <c r="G272" s="32"/>
      <c r="H272" s="8"/>
      <c r="I272" s="109">
        <f t="shared" si="42"/>
        <v>145000</v>
      </c>
    </row>
    <row r="273" spans="1:9" ht="30" x14ac:dyDescent="0.25">
      <c r="A273" s="21" t="s">
        <v>593</v>
      </c>
      <c r="B273" s="64" t="s">
        <v>594</v>
      </c>
      <c r="C273" s="28">
        <v>52560</v>
      </c>
      <c r="D273" s="8"/>
      <c r="E273" s="32"/>
      <c r="F273" s="8"/>
      <c r="G273" s="32"/>
      <c r="H273" s="32"/>
      <c r="I273" s="109">
        <f t="shared" si="42"/>
        <v>52560</v>
      </c>
    </row>
    <row r="274" spans="1:9" ht="45" x14ac:dyDescent="0.25">
      <c r="A274" s="21" t="s">
        <v>479</v>
      </c>
      <c r="B274" s="78" t="s">
        <v>678</v>
      </c>
      <c r="C274" s="28">
        <v>311374</v>
      </c>
      <c r="D274" s="6"/>
      <c r="E274" s="28"/>
      <c r="F274" s="6"/>
      <c r="G274" s="28"/>
      <c r="H274" s="28"/>
      <c r="I274" s="109">
        <f t="shared" si="42"/>
        <v>311374</v>
      </c>
    </row>
    <row r="275" spans="1:9" ht="31.5" x14ac:dyDescent="0.25">
      <c r="A275" s="21" t="s">
        <v>202</v>
      </c>
      <c r="B275" s="77" t="s">
        <v>328</v>
      </c>
      <c r="C275" s="28">
        <v>33821</v>
      </c>
      <c r="D275" s="6"/>
      <c r="E275" s="28"/>
      <c r="F275" s="6"/>
      <c r="G275" s="28"/>
      <c r="H275" s="28"/>
      <c r="I275" s="109">
        <f t="shared" si="42"/>
        <v>33821</v>
      </c>
    </row>
    <row r="276" spans="1:9" ht="45" x14ac:dyDescent="0.25">
      <c r="A276" s="21" t="s">
        <v>595</v>
      </c>
      <c r="B276" s="41" t="s">
        <v>596</v>
      </c>
      <c r="C276" s="28">
        <v>10460</v>
      </c>
      <c r="D276" s="6"/>
      <c r="E276" s="28"/>
      <c r="F276" s="6"/>
      <c r="G276" s="28"/>
      <c r="H276" s="28"/>
      <c r="I276" s="109">
        <f t="shared" si="42"/>
        <v>10460</v>
      </c>
    </row>
    <row r="277" spans="1:9" ht="30" x14ac:dyDescent="0.25">
      <c r="A277" s="21" t="s">
        <v>597</v>
      </c>
      <c r="B277" s="41" t="s">
        <v>598</v>
      </c>
      <c r="C277" s="28">
        <v>73729</v>
      </c>
      <c r="D277" s="6"/>
      <c r="E277" s="28"/>
      <c r="F277" s="6"/>
      <c r="G277" s="28"/>
      <c r="H277" s="28"/>
      <c r="I277" s="109">
        <f t="shared" si="42"/>
        <v>73729</v>
      </c>
    </row>
    <row r="278" spans="1:9" ht="45" x14ac:dyDescent="0.25">
      <c r="A278" s="21" t="s">
        <v>457</v>
      </c>
      <c r="B278" s="174" t="s">
        <v>458</v>
      </c>
      <c r="C278" s="28">
        <v>852</v>
      </c>
      <c r="D278" s="6"/>
      <c r="E278" s="28"/>
      <c r="F278" s="6"/>
      <c r="G278" s="28"/>
      <c r="H278" s="28"/>
      <c r="I278" s="109">
        <f t="shared" si="42"/>
        <v>852</v>
      </c>
    </row>
    <row r="279" spans="1:9" ht="45" x14ac:dyDescent="0.25">
      <c r="A279" s="21" t="s">
        <v>445</v>
      </c>
      <c r="B279" s="175" t="s">
        <v>480</v>
      </c>
      <c r="C279" s="28">
        <v>11690</v>
      </c>
      <c r="D279" s="6"/>
      <c r="E279" s="28"/>
      <c r="F279" s="6"/>
      <c r="G279" s="28"/>
      <c r="H279" s="28"/>
      <c r="I279" s="109">
        <f t="shared" si="42"/>
        <v>11690</v>
      </c>
    </row>
    <row r="280" spans="1:9" ht="47.25" x14ac:dyDescent="0.25">
      <c r="A280" s="21" t="s">
        <v>599</v>
      </c>
      <c r="B280" s="65" t="s">
        <v>600</v>
      </c>
      <c r="C280" s="34">
        <v>15916</v>
      </c>
      <c r="D280" s="6"/>
      <c r="E280" s="28"/>
      <c r="F280" s="6"/>
      <c r="G280" s="28"/>
      <c r="H280" s="28"/>
      <c r="I280" s="109">
        <f t="shared" si="42"/>
        <v>15916</v>
      </c>
    </row>
    <row r="281" spans="1:9" ht="47.25" x14ac:dyDescent="0.25">
      <c r="A281" s="21" t="s">
        <v>601</v>
      </c>
      <c r="B281" s="65" t="s">
        <v>602</v>
      </c>
      <c r="C281" s="28">
        <v>3320</v>
      </c>
      <c r="D281" s="6"/>
      <c r="E281" s="28"/>
      <c r="F281" s="6"/>
      <c r="G281" s="28"/>
      <c r="H281" s="28"/>
      <c r="I281" s="109">
        <f t="shared" si="42"/>
        <v>3320</v>
      </c>
    </row>
    <row r="282" spans="1:9" ht="31.5" x14ac:dyDescent="0.25">
      <c r="A282" s="21" t="s">
        <v>632</v>
      </c>
      <c r="B282" s="179" t="s">
        <v>631</v>
      </c>
      <c r="C282" s="28">
        <v>47817</v>
      </c>
      <c r="D282" s="6"/>
      <c r="E282" s="28"/>
      <c r="F282" s="6"/>
      <c r="G282" s="28"/>
      <c r="H282" s="28"/>
      <c r="I282" s="109">
        <f t="shared" si="42"/>
        <v>47817</v>
      </c>
    </row>
    <row r="283" spans="1:9" ht="30" x14ac:dyDescent="0.25">
      <c r="A283" s="39" t="s">
        <v>452</v>
      </c>
      <c r="B283" s="17" t="s">
        <v>451</v>
      </c>
      <c r="C283" s="28">
        <v>64192</v>
      </c>
      <c r="D283" s="6"/>
      <c r="E283" s="28"/>
      <c r="F283" s="6"/>
      <c r="G283" s="28"/>
      <c r="H283" s="28"/>
      <c r="I283" s="109">
        <f t="shared" si="42"/>
        <v>64192</v>
      </c>
    </row>
    <row r="284" spans="1:9" ht="45" x14ac:dyDescent="0.25">
      <c r="A284" s="39" t="s">
        <v>481</v>
      </c>
      <c r="B284" s="175" t="s">
        <v>603</v>
      </c>
      <c r="C284" s="28">
        <f>265879+104076</f>
        <v>369955</v>
      </c>
      <c r="D284" s="6"/>
      <c r="E284" s="28"/>
      <c r="F284" s="6"/>
      <c r="G284" s="28"/>
      <c r="H284" s="28"/>
      <c r="I284" s="109">
        <f t="shared" si="42"/>
        <v>369955</v>
      </c>
    </row>
    <row r="285" spans="1:9" ht="39.75" customHeight="1" x14ac:dyDescent="0.25">
      <c r="A285" s="39" t="s">
        <v>482</v>
      </c>
      <c r="B285" s="175" t="s">
        <v>483</v>
      </c>
      <c r="C285" s="28">
        <v>6019578</v>
      </c>
      <c r="D285" s="6"/>
      <c r="E285" s="28"/>
      <c r="F285" s="6"/>
      <c r="G285" s="28"/>
      <c r="H285" s="28"/>
      <c r="I285" s="109">
        <f t="shared" si="42"/>
        <v>6019578</v>
      </c>
    </row>
    <row r="286" spans="1:9" ht="30" x14ac:dyDescent="0.25">
      <c r="A286" s="21" t="s">
        <v>329</v>
      </c>
      <c r="B286" s="175" t="s">
        <v>330</v>
      </c>
      <c r="C286" s="28">
        <f>5000-700</f>
        <v>4300</v>
      </c>
      <c r="D286" s="6"/>
      <c r="E286" s="28"/>
      <c r="F286" s="6"/>
      <c r="G286" s="28"/>
      <c r="H286" s="28"/>
      <c r="I286" s="109">
        <f t="shared" si="42"/>
        <v>4300</v>
      </c>
    </row>
    <row r="287" spans="1:9" ht="45" x14ac:dyDescent="0.25">
      <c r="A287" s="21" t="s">
        <v>604</v>
      </c>
      <c r="B287" s="176" t="s">
        <v>605</v>
      </c>
      <c r="C287" s="28">
        <v>7196</v>
      </c>
      <c r="D287" s="6"/>
      <c r="E287" s="28"/>
      <c r="F287" s="6"/>
      <c r="G287" s="28"/>
      <c r="H287" s="28"/>
      <c r="I287" s="109">
        <f t="shared" si="42"/>
        <v>7196</v>
      </c>
    </row>
    <row r="288" spans="1:9" ht="45" x14ac:dyDescent="0.25">
      <c r="A288" s="21" t="s">
        <v>624</v>
      </c>
      <c r="B288" s="17" t="s">
        <v>623</v>
      </c>
      <c r="C288" s="28">
        <v>1891253</v>
      </c>
      <c r="D288" s="6"/>
      <c r="E288" s="28"/>
      <c r="F288" s="6"/>
      <c r="G288" s="28"/>
      <c r="H288" s="28"/>
      <c r="I288" s="109">
        <f t="shared" si="42"/>
        <v>1891253</v>
      </c>
    </row>
    <row r="289" spans="1:9" ht="30" x14ac:dyDescent="0.25">
      <c r="A289" s="21" t="s">
        <v>629</v>
      </c>
      <c r="B289" s="4" t="s">
        <v>630</v>
      </c>
      <c r="C289" s="28">
        <v>84769</v>
      </c>
      <c r="D289" s="6"/>
      <c r="E289" s="28"/>
      <c r="F289" s="6"/>
      <c r="G289" s="28"/>
      <c r="H289" s="28"/>
      <c r="I289" s="109">
        <f t="shared" si="42"/>
        <v>84769</v>
      </c>
    </row>
    <row r="290" spans="1:9" ht="30" x14ac:dyDescent="0.25">
      <c r="A290" s="21" t="s">
        <v>606</v>
      </c>
      <c r="B290" s="176" t="s">
        <v>607</v>
      </c>
      <c r="C290" s="28">
        <v>907</v>
      </c>
      <c r="D290" s="6"/>
      <c r="E290" s="28"/>
      <c r="F290" s="6"/>
      <c r="G290" s="28"/>
      <c r="H290" s="28"/>
      <c r="I290" s="109">
        <f t="shared" si="42"/>
        <v>907</v>
      </c>
    </row>
    <row r="291" spans="1:9" ht="30" x14ac:dyDescent="0.25">
      <c r="A291" s="177" t="s">
        <v>166</v>
      </c>
      <c r="B291" s="27" t="s">
        <v>203</v>
      </c>
      <c r="C291" s="28">
        <v>4013</v>
      </c>
      <c r="D291" s="6"/>
      <c r="E291" s="28"/>
      <c r="F291" s="6"/>
      <c r="G291" s="28"/>
      <c r="H291" s="28"/>
      <c r="I291" s="109">
        <f t="shared" si="42"/>
        <v>4013</v>
      </c>
    </row>
    <row r="292" spans="1:9" ht="30" x14ac:dyDescent="0.25">
      <c r="A292" s="142" t="s">
        <v>608</v>
      </c>
      <c r="B292" s="12" t="s">
        <v>609</v>
      </c>
      <c r="C292" s="28">
        <v>65000</v>
      </c>
      <c r="D292" s="28"/>
      <c r="E292" s="28"/>
      <c r="F292" s="6"/>
      <c r="G292" s="28"/>
      <c r="H292" s="28"/>
      <c r="I292" s="109">
        <f t="shared" si="42"/>
        <v>65000</v>
      </c>
    </row>
    <row r="293" spans="1:9" ht="45" x14ac:dyDescent="0.25">
      <c r="A293" s="142" t="s">
        <v>610</v>
      </c>
      <c r="B293" s="12" t="s">
        <v>611</v>
      </c>
      <c r="C293" s="28">
        <v>50000</v>
      </c>
      <c r="D293" s="28"/>
      <c r="E293" s="28"/>
      <c r="F293" s="6"/>
      <c r="G293" s="28"/>
      <c r="H293" s="28"/>
      <c r="I293" s="109">
        <f t="shared" si="42"/>
        <v>50000</v>
      </c>
    </row>
    <row r="294" spans="1:9" ht="30" x14ac:dyDescent="0.25">
      <c r="A294" s="53" t="s">
        <v>612</v>
      </c>
      <c r="B294" s="178" t="s">
        <v>638</v>
      </c>
      <c r="C294" s="28">
        <v>18215</v>
      </c>
      <c r="D294" s="28"/>
      <c r="E294" s="28"/>
      <c r="F294" s="6"/>
      <c r="G294" s="28"/>
      <c r="H294" s="28"/>
      <c r="I294" s="109">
        <f t="shared" si="42"/>
        <v>18215</v>
      </c>
    </row>
    <row r="295" spans="1:9" ht="47.25" x14ac:dyDescent="0.25">
      <c r="A295" s="53" t="s">
        <v>613</v>
      </c>
      <c r="B295" s="179" t="s">
        <v>639</v>
      </c>
      <c r="C295" s="28">
        <v>20160</v>
      </c>
      <c r="D295" s="28"/>
      <c r="E295" s="28"/>
      <c r="F295" s="6"/>
      <c r="G295" s="28"/>
      <c r="H295" s="28"/>
      <c r="I295" s="109">
        <f t="shared" si="42"/>
        <v>20160</v>
      </c>
    </row>
    <row r="296" spans="1:9" ht="45" x14ac:dyDescent="0.25">
      <c r="A296" s="20" t="s">
        <v>484</v>
      </c>
      <c r="B296" s="41" t="s">
        <v>679</v>
      </c>
      <c r="C296" s="28">
        <v>43350</v>
      </c>
      <c r="D296" s="28"/>
      <c r="E296" s="28"/>
      <c r="F296" s="6"/>
      <c r="G296" s="28"/>
      <c r="H296" s="28"/>
      <c r="I296" s="109">
        <f t="shared" si="42"/>
        <v>43350</v>
      </c>
    </row>
    <row r="297" spans="1:9" ht="45" x14ac:dyDescent="0.25">
      <c r="A297" s="20" t="s">
        <v>614</v>
      </c>
      <c r="B297" s="10" t="s">
        <v>680</v>
      </c>
      <c r="C297" s="28">
        <v>54447</v>
      </c>
      <c r="D297" s="28"/>
      <c r="E297" s="28"/>
      <c r="F297" s="6"/>
      <c r="G297" s="28"/>
      <c r="H297" s="28"/>
      <c r="I297" s="109">
        <f t="shared" si="42"/>
        <v>54447</v>
      </c>
    </row>
    <row r="298" spans="1:9" ht="30" x14ac:dyDescent="0.25">
      <c r="A298" s="53" t="s">
        <v>446</v>
      </c>
      <c r="B298" s="17" t="s">
        <v>449</v>
      </c>
      <c r="C298" s="28">
        <v>1484</v>
      </c>
      <c r="D298" s="28"/>
      <c r="E298" s="28"/>
      <c r="F298" s="6"/>
      <c r="G298" s="28"/>
      <c r="H298" s="28"/>
      <c r="I298" s="109">
        <f t="shared" si="42"/>
        <v>1484</v>
      </c>
    </row>
    <row r="299" spans="1:9" ht="30" x14ac:dyDescent="0.25">
      <c r="A299" s="53" t="s">
        <v>447</v>
      </c>
      <c r="B299" s="17" t="s">
        <v>450</v>
      </c>
      <c r="C299" s="6">
        <v>7031</v>
      </c>
      <c r="D299" s="6"/>
      <c r="E299" s="6"/>
      <c r="F299" s="6"/>
      <c r="G299" s="28"/>
      <c r="H299" s="6"/>
      <c r="I299" s="109">
        <f t="shared" si="42"/>
        <v>7031</v>
      </c>
    </row>
    <row r="300" spans="1:9" ht="30" x14ac:dyDescent="0.25">
      <c r="A300" s="20" t="s">
        <v>343</v>
      </c>
      <c r="B300" s="41" t="s">
        <v>347</v>
      </c>
      <c r="C300" s="6">
        <v>10800</v>
      </c>
      <c r="D300" s="6"/>
      <c r="E300" s="6"/>
      <c r="F300" s="6"/>
      <c r="G300" s="28"/>
      <c r="H300" s="6"/>
      <c r="I300" s="102">
        <f t="shared" si="42"/>
        <v>10800</v>
      </c>
    </row>
    <row r="301" spans="1:9" x14ac:dyDescent="0.25">
      <c r="A301" s="20" t="s">
        <v>344</v>
      </c>
      <c r="B301" s="41" t="s">
        <v>348</v>
      </c>
      <c r="C301" s="6">
        <v>24400</v>
      </c>
      <c r="D301" s="6"/>
      <c r="E301" s="6"/>
      <c r="F301" s="6"/>
      <c r="G301" s="28"/>
      <c r="H301" s="6"/>
      <c r="I301" s="102">
        <f t="shared" si="42"/>
        <v>24400</v>
      </c>
    </row>
    <row r="302" spans="1:9" ht="31.5" x14ac:dyDescent="0.25">
      <c r="A302" s="20" t="s">
        <v>640</v>
      </c>
      <c r="B302" s="179" t="s">
        <v>641</v>
      </c>
      <c r="C302" s="6">
        <v>34766</v>
      </c>
      <c r="D302" s="6"/>
      <c r="E302" s="6"/>
      <c r="F302" s="6"/>
      <c r="G302" s="28"/>
      <c r="H302" s="6"/>
      <c r="I302" s="102">
        <f t="shared" si="42"/>
        <v>34766</v>
      </c>
    </row>
    <row r="303" spans="1:9" ht="30" x14ac:dyDescent="0.25">
      <c r="A303" s="20" t="s">
        <v>459</v>
      </c>
      <c r="B303" s="68" t="s">
        <v>460</v>
      </c>
      <c r="C303" s="6">
        <v>4557</v>
      </c>
      <c r="D303" s="6"/>
      <c r="E303" s="6"/>
      <c r="F303" s="6"/>
      <c r="G303" s="28"/>
      <c r="H303" s="6"/>
      <c r="I303" s="102">
        <f t="shared" si="42"/>
        <v>4557</v>
      </c>
    </row>
    <row r="304" spans="1:9" ht="45" x14ac:dyDescent="0.25">
      <c r="A304" s="66" t="s">
        <v>485</v>
      </c>
      <c r="B304" s="41" t="s">
        <v>652</v>
      </c>
      <c r="C304" s="28">
        <f>119748+5542</f>
        <v>125290</v>
      </c>
      <c r="D304" s="28"/>
      <c r="E304" s="28"/>
      <c r="F304" s="28"/>
      <c r="G304" s="28"/>
      <c r="H304" s="28"/>
      <c r="I304" s="102">
        <f t="shared" si="42"/>
        <v>125290</v>
      </c>
    </row>
    <row r="305" spans="1:9" ht="45" x14ac:dyDescent="0.25">
      <c r="A305" s="66" t="s">
        <v>362</v>
      </c>
      <c r="B305" s="68" t="s">
        <v>681</v>
      </c>
      <c r="C305" s="6">
        <v>7658</v>
      </c>
      <c r="D305" s="6"/>
      <c r="E305" s="6"/>
      <c r="F305" s="6"/>
      <c r="G305" s="28"/>
      <c r="H305" s="6"/>
      <c r="I305" s="102">
        <f t="shared" si="42"/>
        <v>7658</v>
      </c>
    </row>
    <row r="306" spans="1:9" ht="30" x14ac:dyDescent="0.25">
      <c r="A306" s="180" t="s">
        <v>364</v>
      </c>
      <c r="B306" s="181" t="s">
        <v>363</v>
      </c>
      <c r="C306" s="6"/>
      <c r="D306" s="6"/>
      <c r="E306" s="6"/>
      <c r="F306" s="6"/>
      <c r="G306" s="28"/>
      <c r="H306" s="6"/>
      <c r="I306" s="102">
        <f t="shared" si="42"/>
        <v>0</v>
      </c>
    </row>
    <row r="307" spans="1:9" ht="45" x14ac:dyDescent="0.25">
      <c r="A307" s="180" t="s">
        <v>365</v>
      </c>
      <c r="B307" s="68" t="s">
        <v>497</v>
      </c>
      <c r="C307" s="6">
        <v>4607</v>
      </c>
      <c r="D307" s="6"/>
      <c r="E307" s="6"/>
      <c r="F307" s="6"/>
      <c r="G307" s="28"/>
      <c r="H307" s="6"/>
      <c r="I307" s="102">
        <f t="shared" si="42"/>
        <v>4607</v>
      </c>
    </row>
    <row r="308" spans="1:9" ht="45" x14ac:dyDescent="0.25">
      <c r="A308" s="180" t="s">
        <v>422</v>
      </c>
      <c r="B308" s="68" t="s">
        <v>423</v>
      </c>
      <c r="C308" s="6">
        <v>2041</v>
      </c>
      <c r="D308" s="6"/>
      <c r="E308" s="6"/>
      <c r="F308" s="6"/>
      <c r="G308" s="28"/>
      <c r="H308" s="6"/>
      <c r="I308" s="102">
        <f t="shared" si="42"/>
        <v>2041</v>
      </c>
    </row>
    <row r="309" spans="1:9" ht="45" x14ac:dyDescent="0.25">
      <c r="A309" s="66" t="s">
        <v>366</v>
      </c>
      <c r="B309" s="40" t="s">
        <v>682</v>
      </c>
      <c r="C309" s="28">
        <v>83319</v>
      </c>
      <c r="D309" s="28"/>
      <c r="E309" s="28"/>
      <c r="F309" s="28"/>
      <c r="G309" s="28"/>
      <c r="H309" s="28"/>
      <c r="I309" s="102">
        <f t="shared" si="42"/>
        <v>83319</v>
      </c>
    </row>
    <row r="310" spans="1:9" ht="60" x14ac:dyDescent="0.25">
      <c r="A310" s="66" t="s">
        <v>436</v>
      </c>
      <c r="B310" s="68" t="s">
        <v>437</v>
      </c>
      <c r="C310" s="6">
        <v>15830</v>
      </c>
      <c r="D310" s="6"/>
      <c r="E310" s="6"/>
      <c r="F310" s="6"/>
      <c r="G310" s="28"/>
      <c r="H310" s="6"/>
      <c r="I310" s="102">
        <f t="shared" si="42"/>
        <v>15830</v>
      </c>
    </row>
    <row r="311" spans="1:9" ht="30" x14ac:dyDescent="0.25">
      <c r="A311" s="66" t="s">
        <v>438</v>
      </c>
      <c r="B311" s="68" t="s">
        <v>439</v>
      </c>
      <c r="C311" s="6">
        <v>30000</v>
      </c>
      <c r="D311" s="6"/>
      <c r="E311" s="6"/>
      <c r="F311" s="6"/>
      <c r="G311" s="28"/>
      <c r="H311" s="6"/>
      <c r="I311" s="102">
        <f t="shared" si="42"/>
        <v>30000</v>
      </c>
    </row>
    <row r="312" spans="1:9" ht="45" x14ac:dyDescent="0.25">
      <c r="A312" s="66" t="s">
        <v>461</v>
      </c>
      <c r="B312" s="68" t="s">
        <v>462</v>
      </c>
      <c r="C312" s="6">
        <v>32864</v>
      </c>
      <c r="D312" s="6"/>
      <c r="E312" s="6"/>
      <c r="F312" s="6"/>
      <c r="G312" s="28"/>
      <c r="H312" s="6"/>
      <c r="I312" s="102">
        <f t="shared" si="42"/>
        <v>32864</v>
      </c>
    </row>
    <row r="313" spans="1:9" ht="45" x14ac:dyDescent="0.25">
      <c r="A313" s="66" t="s">
        <v>486</v>
      </c>
      <c r="B313" s="69" t="s">
        <v>487</v>
      </c>
      <c r="C313" s="6">
        <v>3419433</v>
      </c>
      <c r="D313" s="6"/>
      <c r="E313" s="6"/>
      <c r="F313" s="6"/>
      <c r="G313" s="28"/>
      <c r="H313" s="6"/>
      <c r="I313" s="102">
        <f t="shared" si="42"/>
        <v>3419433</v>
      </c>
    </row>
    <row r="314" spans="1:9" ht="30" x14ac:dyDescent="0.25">
      <c r="A314" s="66" t="s">
        <v>615</v>
      </c>
      <c r="B314" s="12" t="s">
        <v>616</v>
      </c>
      <c r="C314" s="6">
        <v>22490</v>
      </c>
      <c r="D314" s="6"/>
      <c r="E314" s="6"/>
      <c r="F314" s="6"/>
      <c r="G314" s="28"/>
      <c r="H314" s="6"/>
      <c r="I314" s="102">
        <f>SUM(C314:H314)</f>
        <v>22490</v>
      </c>
    </row>
    <row r="315" spans="1:9" ht="45" x14ac:dyDescent="0.25">
      <c r="A315" s="66" t="s">
        <v>617</v>
      </c>
      <c r="B315" s="12" t="s">
        <v>618</v>
      </c>
      <c r="C315" s="9">
        <v>336236</v>
      </c>
      <c r="D315" s="9"/>
      <c r="E315" s="9"/>
      <c r="F315" s="9"/>
      <c r="G315" s="9"/>
      <c r="H315" s="9"/>
      <c r="I315" s="102">
        <f>SUM(C315:H315)</f>
        <v>336236</v>
      </c>
    </row>
    <row r="316" spans="1:9" ht="15.75" thickBot="1" x14ac:dyDescent="0.3">
      <c r="A316" s="182" t="s">
        <v>7</v>
      </c>
      <c r="B316" s="172" t="s">
        <v>56</v>
      </c>
      <c r="C316" s="173">
        <f t="shared" ref="C316:H316" si="43">SUM(C317+C318+C319+C327)</f>
        <v>11938679</v>
      </c>
      <c r="D316" s="173">
        <f t="shared" si="43"/>
        <v>26777</v>
      </c>
      <c r="E316" s="173">
        <f t="shared" si="43"/>
        <v>0</v>
      </c>
      <c r="F316" s="173">
        <f t="shared" si="43"/>
        <v>0</v>
      </c>
      <c r="G316" s="173">
        <f t="shared" si="43"/>
        <v>0</v>
      </c>
      <c r="H316" s="173">
        <f t="shared" si="43"/>
        <v>1137145</v>
      </c>
      <c r="I316" s="109">
        <f t="shared" si="42"/>
        <v>13102601</v>
      </c>
    </row>
    <row r="317" spans="1:9" ht="29.25" x14ac:dyDescent="0.25">
      <c r="A317" s="133" t="s">
        <v>448</v>
      </c>
      <c r="B317" s="152" t="s">
        <v>541</v>
      </c>
      <c r="C317" s="33">
        <v>554172</v>
      </c>
      <c r="D317" s="106"/>
      <c r="E317" s="33"/>
      <c r="F317" s="106"/>
      <c r="G317" s="32"/>
      <c r="H317" s="33"/>
      <c r="I317" s="109">
        <f t="shared" si="42"/>
        <v>554172</v>
      </c>
    </row>
    <row r="318" spans="1:9" x14ac:dyDescent="0.25">
      <c r="A318" s="133" t="s">
        <v>442</v>
      </c>
      <c r="B318" s="130" t="s">
        <v>72</v>
      </c>
      <c r="C318" s="62">
        <v>16483</v>
      </c>
      <c r="D318" s="33"/>
      <c r="E318" s="33"/>
      <c r="F318" s="106"/>
      <c r="G318" s="32"/>
      <c r="H318" s="33"/>
      <c r="I318" s="109">
        <f t="shared" si="42"/>
        <v>16483</v>
      </c>
    </row>
    <row r="319" spans="1:9" ht="29.25" x14ac:dyDescent="0.25">
      <c r="A319" s="134" t="s">
        <v>57</v>
      </c>
      <c r="B319" s="116" t="s">
        <v>58</v>
      </c>
      <c r="C319" s="8">
        <f t="shared" ref="C319:H319" si="44">SUM(C320:C326)</f>
        <v>11187200</v>
      </c>
      <c r="D319" s="8">
        <f t="shared" si="44"/>
        <v>26777</v>
      </c>
      <c r="E319" s="8">
        <f t="shared" si="44"/>
        <v>0</v>
      </c>
      <c r="F319" s="8">
        <f t="shared" si="44"/>
        <v>0</v>
      </c>
      <c r="G319" s="32">
        <f t="shared" si="44"/>
        <v>0</v>
      </c>
      <c r="H319" s="8">
        <f t="shared" si="44"/>
        <v>1137145</v>
      </c>
      <c r="I319" s="109">
        <f>SUM(C319:H319)</f>
        <v>12351122</v>
      </c>
    </row>
    <row r="320" spans="1:9" x14ac:dyDescent="0.25">
      <c r="A320" s="104" t="s">
        <v>146</v>
      </c>
      <c r="B320" s="24" t="s">
        <v>542</v>
      </c>
      <c r="C320" s="28">
        <v>3239966</v>
      </c>
      <c r="D320" s="6">
        <f>18777+8000</f>
        <v>26777</v>
      </c>
      <c r="E320" s="28"/>
      <c r="F320" s="9"/>
      <c r="G320" s="28"/>
      <c r="H320" s="28"/>
      <c r="I320" s="109">
        <f t="shared" si="42"/>
        <v>3266743</v>
      </c>
    </row>
    <row r="321" spans="1:10" ht="30" x14ac:dyDescent="0.25">
      <c r="A321" s="104" t="s">
        <v>147</v>
      </c>
      <c r="B321" s="24" t="s">
        <v>619</v>
      </c>
      <c r="C321" s="7">
        <v>5792175</v>
      </c>
      <c r="D321" s="6"/>
      <c r="E321" s="28"/>
      <c r="F321" s="9"/>
      <c r="G321" s="28"/>
      <c r="H321" s="28"/>
      <c r="I321" s="109">
        <f t="shared" si="42"/>
        <v>5792175</v>
      </c>
    </row>
    <row r="322" spans="1:10" x14ac:dyDescent="0.25">
      <c r="A322" s="104" t="s">
        <v>168</v>
      </c>
      <c r="B322" s="24" t="s">
        <v>169</v>
      </c>
      <c r="C322" s="28">
        <v>1965162</v>
      </c>
      <c r="D322" s="6"/>
      <c r="E322" s="28"/>
      <c r="F322" s="6"/>
      <c r="G322" s="28"/>
      <c r="H322" s="28"/>
      <c r="I322" s="109">
        <f t="shared" si="42"/>
        <v>1965162</v>
      </c>
    </row>
    <row r="323" spans="1:10" x14ac:dyDescent="0.25">
      <c r="A323" s="63" t="s">
        <v>148</v>
      </c>
      <c r="B323" s="58" t="s">
        <v>620</v>
      </c>
      <c r="C323" s="28"/>
      <c r="D323" s="6"/>
      <c r="E323" s="28"/>
      <c r="F323" s="6"/>
      <c r="G323" s="28"/>
      <c r="H323" s="28">
        <v>1137145</v>
      </c>
      <c r="I323" s="109">
        <f t="shared" si="42"/>
        <v>1137145</v>
      </c>
    </row>
    <row r="324" spans="1:10" ht="25.5" x14ac:dyDescent="0.25">
      <c r="A324" s="53" t="s">
        <v>621</v>
      </c>
      <c r="B324" s="79" t="s">
        <v>488</v>
      </c>
      <c r="C324" s="28">
        <v>35000</v>
      </c>
      <c r="D324" s="6"/>
      <c r="E324" s="28"/>
      <c r="F324" s="6"/>
      <c r="G324" s="28"/>
      <c r="H324" s="28"/>
      <c r="I324" s="109">
        <f t="shared" si="42"/>
        <v>35000</v>
      </c>
    </row>
    <row r="325" spans="1:10" x14ac:dyDescent="0.25">
      <c r="A325" s="104" t="s">
        <v>149</v>
      </c>
      <c r="B325" s="24" t="s">
        <v>73</v>
      </c>
      <c r="C325" s="28">
        <v>100000</v>
      </c>
      <c r="D325" s="6"/>
      <c r="E325" s="28"/>
      <c r="F325" s="6"/>
      <c r="G325" s="28"/>
      <c r="H325" s="28"/>
      <c r="I325" s="109">
        <f t="shared" si="42"/>
        <v>100000</v>
      </c>
    </row>
    <row r="326" spans="1:10" ht="45" x14ac:dyDescent="0.25">
      <c r="A326" s="21" t="s">
        <v>440</v>
      </c>
      <c r="B326" s="11" t="s">
        <v>441</v>
      </c>
      <c r="C326" s="6">
        <v>54897</v>
      </c>
      <c r="D326" s="6"/>
      <c r="E326" s="6"/>
      <c r="F326" s="6"/>
      <c r="G326" s="28"/>
      <c r="H326" s="6"/>
      <c r="I326" s="109">
        <f t="shared" si="42"/>
        <v>54897</v>
      </c>
    </row>
    <row r="327" spans="1:10" x14ac:dyDescent="0.25">
      <c r="A327" s="19" t="s">
        <v>223</v>
      </c>
      <c r="B327" s="44" t="s">
        <v>224</v>
      </c>
      <c r="C327" s="32">
        <f t="shared" ref="C327:H327" si="45">SUM(C328:C328)</f>
        <v>180824</v>
      </c>
      <c r="D327" s="28">
        <f t="shared" si="45"/>
        <v>0</v>
      </c>
      <c r="E327" s="28">
        <f t="shared" si="45"/>
        <v>0</v>
      </c>
      <c r="F327" s="28">
        <f t="shared" si="45"/>
        <v>0</v>
      </c>
      <c r="G327" s="28">
        <f t="shared" si="45"/>
        <v>0</v>
      </c>
      <c r="H327" s="28">
        <f t="shared" si="45"/>
        <v>0</v>
      </c>
      <c r="I327" s="109">
        <f t="shared" si="42"/>
        <v>180824</v>
      </c>
    </row>
    <row r="328" spans="1:10" ht="30.75" thickBot="1" x14ac:dyDescent="0.3">
      <c r="A328" s="20" t="s">
        <v>337</v>
      </c>
      <c r="B328" s="183" t="s">
        <v>683</v>
      </c>
      <c r="C328" s="28">
        <f>178500+2324</f>
        <v>180824</v>
      </c>
      <c r="D328" s="28"/>
      <c r="E328" s="28"/>
      <c r="F328" s="28"/>
      <c r="G328" s="28"/>
      <c r="H328" s="28"/>
      <c r="I328" s="109">
        <f t="shared" si="42"/>
        <v>180824</v>
      </c>
    </row>
    <row r="329" spans="1:10" ht="15.75" thickBot="1" x14ac:dyDescent="0.3">
      <c r="A329" s="184"/>
      <c r="B329" s="96" t="s">
        <v>10</v>
      </c>
      <c r="C329" s="99">
        <f t="shared" ref="C329:H329" si="46">C10+C20+C25+C68+C87+C138+C146+C212+C316</f>
        <v>128161897</v>
      </c>
      <c r="D329" s="99">
        <f t="shared" si="46"/>
        <v>4584558</v>
      </c>
      <c r="E329" s="99">
        <f t="shared" si="46"/>
        <v>1979540</v>
      </c>
      <c r="F329" s="98">
        <f t="shared" si="46"/>
        <v>610346</v>
      </c>
      <c r="G329" s="99">
        <f t="shared" si="46"/>
        <v>1222949</v>
      </c>
      <c r="H329" s="98">
        <f t="shared" si="46"/>
        <v>1137145</v>
      </c>
      <c r="I329" s="100">
        <f t="shared" si="42"/>
        <v>137696435</v>
      </c>
    </row>
    <row r="330" spans="1:10" x14ac:dyDescent="0.25">
      <c r="A330" s="3" t="s">
        <v>237</v>
      </c>
      <c r="B330" s="126" t="s">
        <v>238</v>
      </c>
      <c r="C330" s="3">
        <f>7466198+154230</f>
        <v>7620428</v>
      </c>
      <c r="D330" s="3"/>
      <c r="E330" s="3"/>
      <c r="F330" s="3"/>
      <c r="G330" s="3"/>
      <c r="H330" s="3"/>
      <c r="I330" s="3">
        <f t="shared" si="42"/>
        <v>7620428</v>
      </c>
    </row>
    <row r="331" spans="1:10" x14ac:dyDescent="0.25">
      <c r="A331" s="3"/>
      <c r="B331" s="185"/>
      <c r="C331" s="127"/>
      <c r="D331" s="3"/>
      <c r="E331" s="3"/>
      <c r="F331" s="3"/>
      <c r="G331" s="3"/>
      <c r="H331" s="3"/>
      <c r="I331" s="3">
        <f t="shared" si="42"/>
        <v>0</v>
      </c>
    </row>
    <row r="332" spans="1:10" ht="29.25" x14ac:dyDescent="0.25">
      <c r="A332" s="3" t="s">
        <v>230</v>
      </c>
      <c r="B332" s="185" t="s">
        <v>236</v>
      </c>
      <c r="C332" s="1">
        <v>76000</v>
      </c>
      <c r="D332" s="1"/>
      <c r="E332" s="1"/>
      <c r="F332" s="1"/>
      <c r="G332" s="1"/>
      <c r="H332" s="1"/>
      <c r="I332" s="3">
        <f t="shared" si="42"/>
        <v>76000</v>
      </c>
    </row>
    <row r="333" spans="1:10" x14ac:dyDescent="0.25">
      <c r="A333" s="3"/>
      <c r="B333" s="185"/>
      <c r="C333" s="3"/>
      <c r="D333" s="1"/>
      <c r="E333" s="1"/>
      <c r="F333" s="1"/>
      <c r="G333" s="1"/>
      <c r="H333" s="1"/>
      <c r="I333" s="3">
        <f t="shared" si="42"/>
        <v>0</v>
      </c>
    </row>
    <row r="334" spans="1:10" ht="30" x14ac:dyDescent="0.25">
      <c r="A334" s="1" t="s">
        <v>161</v>
      </c>
      <c r="B334" s="90" t="s">
        <v>165</v>
      </c>
      <c r="C334" s="1">
        <v>613199</v>
      </c>
      <c r="D334" s="1">
        <f>1138419-7272</f>
        <v>1131147</v>
      </c>
      <c r="E334" s="1">
        <v>470</v>
      </c>
      <c r="F334" s="1">
        <f>78213-45500-7438</f>
        <v>25275</v>
      </c>
      <c r="G334" s="1">
        <v>93137</v>
      </c>
      <c r="H334" s="1"/>
      <c r="I334" s="3">
        <f t="shared" si="42"/>
        <v>1863228</v>
      </c>
    </row>
    <row r="335" spans="1:10" ht="29.25" x14ac:dyDescent="0.25">
      <c r="A335" s="23" t="s">
        <v>150</v>
      </c>
      <c r="B335" s="186" t="s">
        <v>151</v>
      </c>
      <c r="C335" s="3" t="e">
        <f>#REF!-C329-C330-C331-C332-C333-C334</f>
        <v>#REF!</v>
      </c>
      <c r="D335" s="3" t="e">
        <f>#REF!-D329-D330-D331-D332-D334</f>
        <v>#REF!</v>
      </c>
      <c r="E335" s="3" t="e">
        <f>#REF!-E329-E330-E331-E332-E334</f>
        <v>#REF!</v>
      </c>
      <c r="F335" s="3" t="e">
        <f>#REF!-F329-F330-F331-F332-F334</f>
        <v>#REF!</v>
      </c>
      <c r="G335" s="3" t="e">
        <f>#REF!-G329-G330-G331-G332-G334</f>
        <v>#REF!</v>
      </c>
      <c r="H335" s="3" t="e">
        <f>#REF!-H329-H330-H331-H332-H334</f>
        <v>#REF!</v>
      </c>
      <c r="I335" s="3" t="e">
        <f>#REF!-I329-I330-I331-I332-I333-I334</f>
        <v>#REF!</v>
      </c>
      <c r="J335" s="1"/>
    </row>
    <row r="336" spans="1:10" x14ac:dyDescent="0.25">
      <c r="A336" s="1"/>
      <c r="B336" s="187"/>
      <c r="C336" s="3"/>
      <c r="D336" s="3"/>
      <c r="E336" s="3"/>
      <c r="F336" s="3"/>
      <c r="G336" s="3"/>
      <c r="H336" s="3"/>
      <c r="I336" s="3"/>
    </row>
    <row r="337" spans="1:9" x14ac:dyDescent="0.25">
      <c r="A337" s="1"/>
      <c r="C337" s="1"/>
      <c r="D337" s="1"/>
      <c r="E337" s="1"/>
      <c r="F337" s="1"/>
      <c r="G337" s="1"/>
      <c r="H337" s="188"/>
      <c r="I337" s="3" t="e">
        <f>I335-#REF!</f>
        <v>#REF!</v>
      </c>
    </row>
    <row r="338" spans="1:9" x14ac:dyDescent="0.25">
      <c r="A338" s="1"/>
      <c r="C338" s="1"/>
      <c r="D338" s="1"/>
      <c r="E338" s="1"/>
      <c r="F338" s="1"/>
      <c r="G338" s="1"/>
      <c r="H338" s="1"/>
      <c r="I338" s="189"/>
    </row>
    <row r="339" spans="1:9" x14ac:dyDescent="0.25">
      <c r="A339" s="212" t="s">
        <v>686</v>
      </c>
      <c r="B339" s="212"/>
      <c r="C339" s="212"/>
      <c r="D339" s="212"/>
      <c r="E339" s="212"/>
      <c r="F339" s="212"/>
      <c r="G339" s="212"/>
      <c r="H339" s="212"/>
      <c r="I339" s="212"/>
    </row>
    <row r="340" spans="1:9" ht="45" customHeight="1" thickBot="1" x14ac:dyDescent="0.35">
      <c r="A340" s="211" t="s">
        <v>684</v>
      </c>
      <c r="B340" s="211"/>
      <c r="C340" s="211"/>
      <c r="D340" s="211"/>
      <c r="E340" s="211"/>
      <c r="F340" s="211"/>
      <c r="G340" s="211"/>
      <c r="H340" s="211"/>
      <c r="I340" s="211"/>
    </row>
    <row r="341" spans="1:9" ht="105.75" customHeight="1" thickBot="1" x14ac:dyDescent="0.3">
      <c r="A341" s="91" t="s">
        <v>8</v>
      </c>
      <c r="B341" s="92" t="s">
        <v>62</v>
      </c>
      <c r="C341" s="93" t="s">
        <v>543</v>
      </c>
      <c r="D341" s="57" t="s">
        <v>544</v>
      </c>
      <c r="E341" s="94" t="s">
        <v>545</v>
      </c>
      <c r="F341" s="94" t="s">
        <v>546</v>
      </c>
      <c r="G341" s="190" t="s">
        <v>650</v>
      </c>
      <c r="H341" s="94" t="s">
        <v>428</v>
      </c>
      <c r="I341" s="95" t="s">
        <v>547</v>
      </c>
    </row>
    <row r="342" spans="1:9" ht="15.75" x14ac:dyDescent="0.25">
      <c r="A342" s="115">
        <v>1100</v>
      </c>
      <c r="B342" s="143" t="s">
        <v>88</v>
      </c>
      <c r="C342" s="191">
        <v>49269456</v>
      </c>
      <c r="D342" s="191">
        <v>1366295</v>
      </c>
      <c r="E342" s="191">
        <v>980194</v>
      </c>
      <c r="F342" s="191">
        <v>95510</v>
      </c>
      <c r="G342" s="191">
        <v>263656</v>
      </c>
      <c r="H342" s="191">
        <v>661209</v>
      </c>
      <c r="I342" s="192">
        <f t="shared" ref="I342:I367" si="47">SUM(C342:H342)</f>
        <v>52636320</v>
      </c>
    </row>
    <row r="343" spans="1:9" ht="45" x14ac:dyDescent="0.25">
      <c r="A343" s="108">
        <v>1200</v>
      </c>
      <c r="B343" s="24" t="s">
        <v>152</v>
      </c>
      <c r="C343" s="193">
        <v>14959477</v>
      </c>
      <c r="D343" s="193">
        <v>370319</v>
      </c>
      <c r="E343" s="193">
        <v>352310</v>
      </c>
      <c r="F343" s="193">
        <v>30602</v>
      </c>
      <c r="G343" s="193">
        <v>80416</v>
      </c>
      <c r="H343" s="193">
        <v>189015</v>
      </c>
      <c r="I343" s="194">
        <f t="shared" si="47"/>
        <v>15982139</v>
      </c>
    </row>
    <row r="344" spans="1:9" x14ac:dyDescent="0.25">
      <c r="A344" s="108">
        <v>2000</v>
      </c>
      <c r="B344" s="24" t="s">
        <v>74</v>
      </c>
      <c r="C344" s="6">
        <f t="shared" ref="C344:H344" si="48">C345+C346+C347+C348+C349</f>
        <v>23923505</v>
      </c>
      <c r="D344" s="6">
        <f t="shared" si="48"/>
        <v>1888091</v>
      </c>
      <c r="E344" s="6">
        <f t="shared" si="48"/>
        <v>557286</v>
      </c>
      <c r="F344" s="6">
        <f t="shared" si="48"/>
        <v>379251</v>
      </c>
      <c r="G344" s="6">
        <f t="shared" si="48"/>
        <v>348093</v>
      </c>
      <c r="H344" s="6">
        <f t="shared" si="48"/>
        <v>258921</v>
      </c>
      <c r="I344" s="109">
        <f t="shared" si="47"/>
        <v>27355147</v>
      </c>
    </row>
    <row r="345" spans="1:9" ht="30" x14ac:dyDescent="0.25">
      <c r="A345" s="108">
        <v>2100</v>
      </c>
      <c r="B345" s="24" t="s">
        <v>163</v>
      </c>
      <c r="C345" s="193">
        <v>469092</v>
      </c>
      <c r="D345" s="193">
        <v>2500</v>
      </c>
      <c r="E345" s="193"/>
      <c r="F345" s="193"/>
      <c r="G345" s="193">
        <v>800</v>
      </c>
      <c r="H345" s="193"/>
      <c r="I345" s="194">
        <f t="shared" si="47"/>
        <v>472392</v>
      </c>
    </row>
    <row r="346" spans="1:9" ht="15.75" x14ac:dyDescent="0.25">
      <c r="A346" s="108">
        <v>2200</v>
      </c>
      <c r="B346" s="24" t="s">
        <v>75</v>
      </c>
      <c r="C346" s="193">
        <v>17385089</v>
      </c>
      <c r="D346" s="193">
        <v>1265843</v>
      </c>
      <c r="E346" s="193">
        <v>435261</v>
      </c>
      <c r="F346" s="193">
        <v>356926</v>
      </c>
      <c r="G346" s="193">
        <v>289671</v>
      </c>
      <c r="H346" s="193">
        <v>77877</v>
      </c>
      <c r="I346" s="194">
        <f t="shared" si="47"/>
        <v>19810667</v>
      </c>
    </row>
    <row r="347" spans="1:9" ht="30" x14ac:dyDescent="0.25">
      <c r="A347" s="108">
        <v>2300</v>
      </c>
      <c r="B347" s="24" t="s">
        <v>76</v>
      </c>
      <c r="C347" s="193">
        <v>5802345</v>
      </c>
      <c r="D347" s="193">
        <v>219999</v>
      </c>
      <c r="E347" s="193">
        <v>110025</v>
      </c>
      <c r="F347" s="193">
        <v>10855</v>
      </c>
      <c r="G347" s="193">
        <v>57120</v>
      </c>
      <c r="H347" s="193">
        <v>181044</v>
      </c>
      <c r="I347" s="194">
        <f t="shared" si="47"/>
        <v>6381388</v>
      </c>
    </row>
    <row r="348" spans="1:9" ht="15.75" x14ac:dyDescent="0.25">
      <c r="A348" s="108">
        <v>2400</v>
      </c>
      <c r="B348" s="24" t="s">
        <v>77</v>
      </c>
      <c r="C348" s="193">
        <v>34137</v>
      </c>
      <c r="D348" s="193"/>
      <c r="E348" s="193"/>
      <c r="F348" s="193"/>
      <c r="G348" s="193"/>
      <c r="H348" s="193"/>
      <c r="I348" s="194">
        <f t="shared" si="47"/>
        <v>34137</v>
      </c>
    </row>
    <row r="349" spans="1:9" ht="15.75" x14ac:dyDescent="0.25">
      <c r="A349" s="108">
        <v>2500</v>
      </c>
      <c r="B349" s="24" t="s">
        <v>78</v>
      </c>
      <c r="C349" s="193">
        <v>232842</v>
      </c>
      <c r="D349" s="193">
        <v>399749</v>
      </c>
      <c r="E349" s="193">
        <v>12000</v>
      </c>
      <c r="F349" s="193">
        <v>11470</v>
      </c>
      <c r="G349" s="193">
        <v>502</v>
      </c>
      <c r="H349" s="193"/>
      <c r="I349" s="194">
        <f t="shared" si="47"/>
        <v>656563</v>
      </c>
    </row>
    <row r="350" spans="1:9" ht="30" x14ac:dyDescent="0.25">
      <c r="A350" s="108">
        <v>3200</v>
      </c>
      <c r="B350" s="24" t="s">
        <v>153</v>
      </c>
      <c r="C350" s="193">
        <v>6962638</v>
      </c>
      <c r="D350" s="195"/>
      <c r="E350" s="195"/>
      <c r="F350" s="195"/>
      <c r="G350" s="195"/>
      <c r="H350" s="195"/>
      <c r="I350" s="194">
        <f t="shared" si="47"/>
        <v>6962638</v>
      </c>
    </row>
    <row r="351" spans="1:9" ht="15.75" x14ac:dyDescent="0.25">
      <c r="A351" s="108">
        <v>4200</v>
      </c>
      <c r="B351" s="24" t="s">
        <v>207</v>
      </c>
      <c r="C351" s="195"/>
      <c r="D351" s="195"/>
      <c r="E351" s="195"/>
      <c r="F351" s="195"/>
      <c r="G351" s="195"/>
      <c r="H351" s="195"/>
      <c r="I351" s="194">
        <f t="shared" si="47"/>
        <v>0</v>
      </c>
    </row>
    <row r="352" spans="1:9" ht="15.75" x14ac:dyDescent="0.25">
      <c r="A352" s="108">
        <v>4300</v>
      </c>
      <c r="B352" s="24" t="s">
        <v>79</v>
      </c>
      <c r="C352" s="193">
        <v>2763860</v>
      </c>
      <c r="D352" s="195"/>
      <c r="E352" s="195"/>
      <c r="F352" s="195"/>
      <c r="G352" s="195"/>
      <c r="H352" s="195"/>
      <c r="I352" s="194">
        <f t="shared" si="47"/>
        <v>2763860</v>
      </c>
    </row>
    <row r="353" spans="1:9" ht="15.75" x14ac:dyDescent="0.25">
      <c r="A353" s="108">
        <v>5100</v>
      </c>
      <c r="B353" s="24" t="s">
        <v>59</v>
      </c>
      <c r="C353" s="193">
        <v>317536</v>
      </c>
      <c r="D353" s="193"/>
      <c r="E353" s="193">
        <v>3850</v>
      </c>
      <c r="F353" s="193"/>
      <c r="G353" s="193">
        <v>76818</v>
      </c>
      <c r="H353" s="193"/>
      <c r="I353" s="194">
        <f t="shared" si="47"/>
        <v>398204</v>
      </c>
    </row>
    <row r="354" spans="1:9" ht="15.75" x14ac:dyDescent="0.25">
      <c r="A354" s="108">
        <v>5200</v>
      </c>
      <c r="B354" s="24" t="s">
        <v>80</v>
      </c>
      <c r="C354" s="193">
        <v>22522350</v>
      </c>
      <c r="D354" s="193">
        <v>959853</v>
      </c>
      <c r="E354" s="193">
        <v>85900</v>
      </c>
      <c r="F354" s="193">
        <v>104983</v>
      </c>
      <c r="G354" s="193">
        <v>453966</v>
      </c>
      <c r="H354" s="193">
        <v>28000</v>
      </c>
      <c r="I354" s="194">
        <f t="shared" si="47"/>
        <v>24155052</v>
      </c>
    </row>
    <row r="355" spans="1:9" ht="15.75" x14ac:dyDescent="0.25">
      <c r="A355" s="108">
        <v>6200</v>
      </c>
      <c r="B355" s="24" t="s">
        <v>81</v>
      </c>
      <c r="C355" s="193">
        <v>1740380</v>
      </c>
      <c r="D355" s="193"/>
      <c r="E355" s="193"/>
      <c r="F355" s="193"/>
      <c r="G355" s="193"/>
      <c r="H355" s="193"/>
      <c r="I355" s="194">
        <f t="shared" si="47"/>
        <v>1740380</v>
      </c>
    </row>
    <row r="356" spans="1:9" ht="15.75" x14ac:dyDescent="0.25">
      <c r="A356" s="108">
        <v>6300</v>
      </c>
      <c r="B356" s="24" t="s">
        <v>82</v>
      </c>
      <c r="C356" s="193">
        <v>1210620</v>
      </c>
      <c r="D356" s="193"/>
      <c r="E356" s="193"/>
      <c r="F356" s="193"/>
      <c r="G356" s="193"/>
      <c r="H356" s="193"/>
      <c r="I356" s="194">
        <f t="shared" si="47"/>
        <v>1210620</v>
      </c>
    </row>
    <row r="357" spans="1:9" ht="30" x14ac:dyDescent="0.25">
      <c r="A357" s="108">
        <v>6400</v>
      </c>
      <c r="B357" s="24" t="s">
        <v>154</v>
      </c>
      <c r="C357" s="193">
        <v>3548317</v>
      </c>
      <c r="D357" s="193"/>
      <c r="E357" s="193"/>
      <c r="F357" s="193"/>
      <c r="G357" s="193"/>
      <c r="H357" s="193"/>
      <c r="I357" s="194">
        <f t="shared" si="47"/>
        <v>3548317</v>
      </c>
    </row>
    <row r="358" spans="1:9" ht="30.75" thickBot="1" x14ac:dyDescent="0.3">
      <c r="A358" s="110">
        <v>6500</v>
      </c>
      <c r="B358" s="196" t="s">
        <v>164</v>
      </c>
      <c r="C358" s="197">
        <v>1495</v>
      </c>
      <c r="D358" s="197"/>
      <c r="E358" s="197"/>
      <c r="F358" s="197"/>
      <c r="G358" s="197"/>
      <c r="H358" s="197"/>
      <c r="I358" s="198">
        <f t="shared" si="47"/>
        <v>1495</v>
      </c>
    </row>
    <row r="359" spans="1:9" ht="15.75" thickBot="1" x14ac:dyDescent="0.3">
      <c r="A359" s="113">
        <v>7200</v>
      </c>
      <c r="B359" s="96" t="s">
        <v>155</v>
      </c>
      <c r="C359" s="98">
        <f t="shared" ref="C359:H359" si="49">C360+C361+C362+C363</f>
        <v>909323</v>
      </c>
      <c r="D359" s="98">
        <f t="shared" si="49"/>
        <v>0</v>
      </c>
      <c r="E359" s="98">
        <f t="shared" si="49"/>
        <v>0</v>
      </c>
      <c r="F359" s="98">
        <f t="shared" si="49"/>
        <v>0</v>
      </c>
      <c r="G359" s="99">
        <f t="shared" si="49"/>
        <v>0</v>
      </c>
      <c r="H359" s="98">
        <f t="shared" si="49"/>
        <v>0</v>
      </c>
      <c r="I359" s="100">
        <f t="shared" si="47"/>
        <v>909323</v>
      </c>
    </row>
    <row r="360" spans="1:9" x14ac:dyDescent="0.25">
      <c r="A360" s="101">
        <v>7210</v>
      </c>
      <c r="B360" s="82" t="s">
        <v>491</v>
      </c>
      <c r="C360" s="107">
        <v>900000</v>
      </c>
      <c r="D360" s="107"/>
      <c r="E360" s="107"/>
      <c r="F360" s="199"/>
      <c r="G360" s="144"/>
      <c r="H360" s="107"/>
      <c r="I360" s="105">
        <f t="shared" si="47"/>
        <v>900000</v>
      </c>
    </row>
    <row r="361" spans="1:9" ht="45" x14ac:dyDescent="0.25">
      <c r="A361" s="103">
        <v>7245</v>
      </c>
      <c r="B361" s="83" t="s">
        <v>493</v>
      </c>
      <c r="C361" s="6">
        <v>6573</v>
      </c>
      <c r="D361" s="6"/>
      <c r="E361" s="6"/>
      <c r="F361" s="29"/>
      <c r="G361" s="149"/>
      <c r="H361" s="6"/>
      <c r="I361" s="200">
        <f t="shared" si="47"/>
        <v>6573</v>
      </c>
    </row>
    <row r="362" spans="1:9" ht="60" x14ac:dyDescent="0.25">
      <c r="A362" s="103">
        <v>7246</v>
      </c>
      <c r="B362" s="83" t="s">
        <v>494</v>
      </c>
      <c r="C362" s="6">
        <v>1000</v>
      </c>
      <c r="D362" s="6"/>
      <c r="E362" s="6"/>
      <c r="F362" s="29"/>
      <c r="G362" s="149"/>
      <c r="H362" s="6"/>
      <c r="I362" s="200">
        <f t="shared" si="47"/>
        <v>1000</v>
      </c>
    </row>
    <row r="363" spans="1:9" ht="30" x14ac:dyDescent="0.25">
      <c r="A363" s="103">
        <v>7247</v>
      </c>
      <c r="B363" s="83" t="s">
        <v>492</v>
      </c>
      <c r="C363" s="6">
        <v>1750</v>
      </c>
      <c r="D363" s="6"/>
      <c r="E363" s="6"/>
      <c r="F363" s="29"/>
      <c r="G363" s="149"/>
      <c r="H363" s="6"/>
      <c r="I363" s="200">
        <f t="shared" si="47"/>
        <v>1750</v>
      </c>
    </row>
    <row r="364" spans="1:9" x14ac:dyDescent="0.25">
      <c r="A364" s="108">
        <v>7700</v>
      </c>
      <c r="B364" s="24" t="s">
        <v>215</v>
      </c>
      <c r="C364" s="8">
        <v>32940</v>
      </c>
      <c r="D364" s="6"/>
      <c r="E364" s="6"/>
      <c r="F364" s="29"/>
      <c r="G364" s="149"/>
      <c r="H364" s="6"/>
      <c r="I364" s="200">
        <f t="shared" si="47"/>
        <v>32940</v>
      </c>
    </row>
    <row r="365" spans="1:9" x14ac:dyDescent="0.25">
      <c r="A365" s="108">
        <v>8100</v>
      </c>
      <c r="B365" s="6" t="s">
        <v>170</v>
      </c>
      <c r="C365" s="8"/>
      <c r="D365" s="6"/>
      <c r="E365" s="6"/>
      <c r="F365" s="29"/>
      <c r="G365" s="149"/>
      <c r="H365" s="6"/>
      <c r="I365" s="200">
        <f t="shared" si="47"/>
        <v>0</v>
      </c>
    </row>
    <row r="366" spans="1:9" ht="45" x14ac:dyDescent="0.25">
      <c r="A366" s="108">
        <v>8900</v>
      </c>
      <c r="B366" s="196" t="s">
        <v>208</v>
      </c>
      <c r="C366" s="139"/>
      <c r="D366" s="30"/>
      <c r="E366" s="30"/>
      <c r="F366" s="6"/>
      <c r="G366" s="201"/>
      <c r="H366" s="30"/>
      <c r="I366" s="200">
        <f t="shared" si="47"/>
        <v>0</v>
      </c>
    </row>
    <row r="367" spans="1:9" ht="15.75" thickBot="1" x14ac:dyDescent="0.3">
      <c r="A367" s="112">
        <v>9000</v>
      </c>
      <c r="B367" s="202" t="s">
        <v>204</v>
      </c>
      <c r="C367" s="203"/>
      <c r="D367" s="204"/>
      <c r="E367" s="204"/>
      <c r="F367" s="204"/>
      <c r="G367" s="205"/>
      <c r="H367" s="204"/>
      <c r="I367" s="200">
        <f t="shared" si="47"/>
        <v>0</v>
      </c>
    </row>
    <row r="368" spans="1:9" ht="15.75" thickBot="1" x14ac:dyDescent="0.3">
      <c r="A368" s="184"/>
      <c r="B368" s="71" t="s">
        <v>83</v>
      </c>
      <c r="C368" s="206">
        <f>SUM(C342:C344,C350:C358,C359,C364,C365,C366,C367)</f>
        <v>128161897</v>
      </c>
      <c r="D368" s="206">
        <f t="shared" ref="D368:I368" si="50">SUM(D342:D344,D350:D358,D359,D364,D365,D366,D367)</f>
        <v>4584558</v>
      </c>
      <c r="E368" s="206">
        <f t="shared" si="50"/>
        <v>1979540</v>
      </c>
      <c r="F368" s="206">
        <f t="shared" si="50"/>
        <v>610346</v>
      </c>
      <c r="G368" s="206">
        <f t="shared" si="50"/>
        <v>1222949</v>
      </c>
      <c r="H368" s="206">
        <f t="shared" si="50"/>
        <v>1137145</v>
      </c>
      <c r="I368" s="100">
        <f t="shared" si="50"/>
        <v>137696435</v>
      </c>
    </row>
    <row r="369" spans="2:9" x14ac:dyDescent="0.25">
      <c r="B369" s="5"/>
      <c r="D369" s="1"/>
      <c r="E369" s="1"/>
      <c r="H369" s="1"/>
    </row>
    <row r="370" spans="2:9" x14ac:dyDescent="0.25">
      <c r="B370" s="209" t="s">
        <v>685</v>
      </c>
      <c r="C370" s="209"/>
      <c r="D370" s="209"/>
      <c r="E370" s="209"/>
      <c r="F370" s="209"/>
      <c r="G370" s="209"/>
      <c r="H370" s="209"/>
      <c r="I370" s="209"/>
    </row>
    <row r="371" spans="2:9" x14ac:dyDescent="0.25">
      <c r="B371" s="5"/>
      <c r="D371" s="1"/>
      <c r="E371" s="1"/>
      <c r="H371" s="1"/>
    </row>
    <row r="376" spans="2:9" x14ac:dyDescent="0.25">
      <c r="B376" s="4"/>
    </row>
  </sheetData>
  <mergeCells count="5">
    <mergeCell ref="B370:I370"/>
    <mergeCell ref="A1:I1"/>
    <mergeCell ref="A8:I8"/>
    <mergeCell ref="A340:I340"/>
    <mergeCell ref="A339:I339"/>
  </mergeCells>
  <phoneticPr fontId="8" type="noConversion"/>
  <pageMargins left="0.23622047244094491" right="0.35433070866141736" top="0.78740157480314965" bottom="0.59055118110236227" header="0.51181102362204722" footer="0.51181102362204722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Pamatbudžets   </vt:lpstr>
    </vt:vector>
  </TitlesOfParts>
  <Company>Ogres novada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Sandra Spulģe</cp:lastModifiedBy>
  <cp:lastPrinted>2026-07-31T07:50:22Z</cp:lastPrinted>
  <dcterms:created xsi:type="dcterms:W3CDTF">2006-04-20T10:34:24Z</dcterms:created>
  <dcterms:modified xsi:type="dcterms:W3CDTF">2026-08-05T09:52:29Z</dcterms:modified>
  <cp:contentStatus>Pēdējais</cp:contentStatus>
</cp:coreProperties>
</file>