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</sheets>
  <definedNames>
    <definedName name="_xlnm.Print_Area" localSheetId="0">Sheet1!$A$1:$P$615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7" i="1" l="1"/>
  <c r="M607" i="1"/>
  <c r="L607" i="1"/>
  <c r="K607" i="1"/>
  <c r="J607" i="1"/>
  <c r="I607" i="1"/>
  <c r="H607" i="1"/>
  <c r="N606" i="1"/>
  <c r="M606" i="1"/>
  <c r="L606" i="1"/>
  <c r="K606" i="1"/>
  <c r="J606" i="1"/>
  <c r="I606" i="1"/>
  <c r="H606" i="1"/>
  <c r="O605" i="1"/>
  <c r="P605" i="1" s="1"/>
  <c r="O604" i="1"/>
  <c r="O606" i="1" s="1"/>
  <c r="N603" i="1"/>
  <c r="L603" i="1"/>
  <c r="H603" i="1"/>
  <c r="O602" i="1"/>
  <c r="M602" i="1"/>
  <c r="K602" i="1"/>
  <c r="K603" i="1" s="1"/>
  <c r="J602" i="1"/>
  <c r="J603" i="1" s="1"/>
  <c r="I602" i="1"/>
  <c r="I603" i="1" s="1"/>
  <c r="H602" i="1"/>
  <c r="O601" i="1"/>
  <c r="P601" i="1" s="1"/>
  <c r="O599" i="1"/>
  <c r="N599" i="1"/>
  <c r="N600" i="1" s="1"/>
  <c r="M599" i="1"/>
  <c r="M600" i="1" s="1"/>
  <c r="L599" i="1"/>
  <c r="L600" i="1" s="1"/>
  <c r="K599" i="1"/>
  <c r="K600" i="1" s="1"/>
  <c r="J599" i="1"/>
  <c r="J600" i="1" s="1"/>
  <c r="I599" i="1"/>
  <c r="I600" i="1" s="1"/>
  <c r="H599" i="1"/>
  <c r="H600" i="1" s="1"/>
  <c r="O598" i="1"/>
  <c r="O600" i="1" s="1"/>
  <c r="O596" i="1"/>
  <c r="N596" i="1"/>
  <c r="N597" i="1" s="1"/>
  <c r="M596" i="1"/>
  <c r="L596" i="1"/>
  <c r="L608" i="1" s="1"/>
  <c r="K596" i="1"/>
  <c r="K597" i="1" s="1"/>
  <c r="J596" i="1"/>
  <c r="J597" i="1" s="1"/>
  <c r="I596" i="1"/>
  <c r="I597" i="1" s="1"/>
  <c r="H596" i="1"/>
  <c r="H597" i="1" s="1"/>
  <c r="O595" i="1"/>
  <c r="O597" i="1" s="1"/>
  <c r="O594" i="1"/>
  <c r="M594" i="1"/>
  <c r="L594" i="1"/>
  <c r="O593" i="1"/>
  <c r="N593" i="1"/>
  <c r="N608" i="1" s="1"/>
  <c r="M593" i="1"/>
  <c r="L593" i="1"/>
  <c r="K593" i="1"/>
  <c r="K594" i="1" s="1"/>
  <c r="J593" i="1"/>
  <c r="J608" i="1" s="1"/>
  <c r="I593" i="1"/>
  <c r="I594" i="1" s="1"/>
  <c r="H593" i="1"/>
  <c r="H594" i="1" s="1"/>
  <c r="O592" i="1"/>
  <c r="P592" i="1" s="1"/>
  <c r="O591" i="1"/>
  <c r="N591" i="1"/>
  <c r="M591" i="1"/>
  <c r="L591" i="1"/>
  <c r="K591" i="1"/>
  <c r="J591" i="1"/>
  <c r="I590" i="1"/>
  <c r="H590" i="1"/>
  <c r="P590" i="1" s="1"/>
  <c r="P589" i="1"/>
  <c r="N577" i="1"/>
  <c r="N584" i="1" s="1"/>
  <c r="M577" i="1"/>
  <c r="M584" i="1" s="1"/>
  <c r="O576" i="1"/>
  <c r="N576" i="1"/>
  <c r="M576" i="1"/>
  <c r="L576" i="1"/>
  <c r="K576" i="1"/>
  <c r="J576" i="1"/>
  <c r="I576" i="1"/>
  <c r="H576" i="1"/>
  <c r="P575" i="1"/>
  <c r="P574" i="1"/>
  <c r="O573" i="1"/>
  <c r="N573" i="1"/>
  <c r="M573" i="1"/>
  <c r="L573" i="1"/>
  <c r="K573" i="1"/>
  <c r="J573" i="1"/>
  <c r="I573" i="1"/>
  <c r="H573" i="1"/>
  <c r="P572" i="1"/>
  <c r="P571" i="1"/>
  <c r="N570" i="1"/>
  <c r="M570" i="1"/>
  <c r="L570" i="1"/>
  <c r="K570" i="1"/>
  <c r="J570" i="1"/>
  <c r="I570" i="1"/>
  <c r="H570" i="1"/>
  <c r="O569" i="1"/>
  <c r="P568" i="1"/>
  <c r="O568" i="1"/>
  <c r="N567" i="1"/>
  <c r="M567" i="1"/>
  <c r="L567" i="1"/>
  <c r="K567" i="1"/>
  <c r="J567" i="1"/>
  <c r="I567" i="1"/>
  <c r="H567" i="1"/>
  <c r="O566" i="1"/>
  <c r="P566" i="1" s="1"/>
  <c r="P565" i="1"/>
  <c r="O565" i="1"/>
  <c r="O567" i="1" s="1"/>
  <c r="N564" i="1"/>
  <c r="M564" i="1"/>
  <c r="L564" i="1"/>
  <c r="K564" i="1"/>
  <c r="J564" i="1"/>
  <c r="I564" i="1"/>
  <c r="H564" i="1"/>
  <c r="O563" i="1"/>
  <c r="P563" i="1" s="1"/>
  <c r="O562" i="1"/>
  <c r="P562" i="1" s="1"/>
  <c r="N561" i="1"/>
  <c r="M561" i="1"/>
  <c r="L561" i="1"/>
  <c r="K561" i="1"/>
  <c r="J561" i="1"/>
  <c r="I561" i="1"/>
  <c r="H561" i="1"/>
  <c r="P560" i="1"/>
  <c r="O560" i="1"/>
  <c r="P559" i="1"/>
  <c r="O559" i="1"/>
  <c r="O561" i="1" s="1"/>
  <c r="N558" i="1"/>
  <c r="M558" i="1"/>
  <c r="L558" i="1"/>
  <c r="K558" i="1"/>
  <c r="J558" i="1"/>
  <c r="I558" i="1"/>
  <c r="H558" i="1"/>
  <c r="P557" i="1"/>
  <c r="O557" i="1"/>
  <c r="O556" i="1"/>
  <c r="O558" i="1" s="1"/>
  <c r="N555" i="1"/>
  <c r="M555" i="1"/>
  <c r="L555" i="1"/>
  <c r="K555" i="1"/>
  <c r="J555" i="1"/>
  <c r="I555" i="1"/>
  <c r="H555" i="1"/>
  <c r="O554" i="1"/>
  <c r="P554" i="1" s="1"/>
  <c r="O553" i="1"/>
  <c r="H552" i="1"/>
  <c r="O551" i="1"/>
  <c r="N551" i="1"/>
  <c r="N552" i="1" s="1"/>
  <c r="M551" i="1"/>
  <c r="M552" i="1" s="1"/>
  <c r="L551" i="1"/>
  <c r="L552" i="1" s="1"/>
  <c r="K551" i="1"/>
  <c r="K552" i="1" s="1"/>
  <c r="J551" i="1"/>
  <c r="J552" i="1" s="1"/>
  <c r="I551" i="1"/>
  <c r="I552" i="1" s="1"/>
  <c r="P550" i="1"/>
  <c r="O550" i="1"/>
  <c r="O552" i="1" s="1"/>
  <c r="N549" i="1"/>
  <c r="M549" i="1"/>
  <c r="L549" i="1"/>
  <c r="K549" i="1"/>
  <c r="J549" i="1"/>
  <c r="I549" i="1"/>
  <c r="H549" i="1"/>
  <c r="O548" i="1"/>
  <c r="O547" i="1"/>
  <c r="P547" i="1" s="1"/>
  <c r="N546" i="1"/>
  <c r="M546" i="1"/>
  <c r="L546" i="1"/>
  <c r="K546" i="1"/>
  <c r="J546" i="1"/>
  <c r="I546" i="1"/>
  <c r="H546" i="1"/>
  <c r="O545" i="1"/>
  <c r="P545" i="1" s="1"/>
  <c r="O544" i="1"/>
  <c r="N543" i="1"/>
  <c r="M543" i="1"/>
  <c r="L543" i="1"/>
  <c r="K543" i="1"/>
  <c r="J543" i="1"/>
  <c r="I543" i="1"/>
  <c r="H543" i="1"/>
  <c r="P542" i="1"/>
  <c r="O542" i="1"/>
  <c r="O541" i="1"/>
  <c r="P541" i="1" s="1"/>
  <c r="N540" i="1"/>
  <c r="M540" i="1"/>
  <c r="L540" i="1"/>
  <c r="K540" i="1"/>
  <c r="J540" i="1"/>
  <c r="I540" i="1"/>
  <c r="H540" i="1"/>
  <c r="P539" i="1"/>
  <c r="O539" i="1"/>
  <c r="O538" i="1"/>
  <c r="O540" i="1" s="1"/>
  <c r="N537" i="1"/>
  <c r="M537" i="1"/>
  <c r="L537" i="1"/>
  <c r="K537" i="1"/>
  <c r="J537" i="1"/>
  <c r="I537" i="1"/>
  <c r="H537" i="1"/>
  <c r="O536" i="1"/>
  <c r="O535" i="1"/>
  <c r="P535" i="1" s="1"/>
  <c r="N534" i="1"/>
  <c r="M534" i="1"/>
  <c r="L534" i="1"/>
  <c r="K534" i="1"/>
  <c r="J534" i="1"/>
  <c r="I534" i="1"/>
  <c r="H534" i="1"/>
  <c r="O533" i="1"/>
  <c r="P533" i="1" s="1"/>
  <c r="P532" i="1"/>
  <c r="O532" i="1"/>
  <c r="O534" i="1" s="1"/>
  <c r="N531" i="1"/>
  <c r="M531" i="1"/>
  <c r="L531" i="1"/>
  <c r="K531" i="1"/>
  <c r="J531" i="1"/>
  <c r="I531" i="1"/>
  <c r="H531" i="1"/>
  <c r="O530" i="1"/>
  <c r="P530" i="1" s="1"/>
  <c r="O529" i="1"/>
  <c r="P529" i="1" s="1"/>
  <c r="N528" i="1"/>
  <c r="M528" i="1"/>
  <c r="L528" i="1"/>
  <c r="K528" i="1"/>
  <c r="J528" i="1"/>
  <c r="I528" i="1"/>
  <c r="H528" i="1"/>
  <c r="O527" i="1"/>
  <c r="O528" i="1" s="1"/>
  <c r="O526" i="1"/>
  <c r="P526" i="1" s="1"/>
  <c r="N525" i="1"/>
  <c r="M525" i="1"/>
  <c r="L525" i="1"/>
  <c r="K525" i="1"/>
  <c r="J525" i="1"/>
  <c r="I525" i="1"/>
  <c r="H525" i="1"/>
  <c r="P524" i="1"/>
  <c r="O524" i="1"/>
  <c r="P523" i="1"/>
  <c r="O523" i="1"/>
  <c r="O525" i="1" s="1"/>
  <c r="O522" i="1"/>
  <c r="N522" i="1"/>
  <c r="M522" i="1"/>
  <c r="L522" i="1"/>
  <c r="K522" i="1"/>
  <c r="J522" i="1"/>
  <c r="I522" i="1"/>
  <c r="H522" i="1"/>
  <c r="P521" i="1"/>
  <c r="P520" i="1"/>
  <c r="N519" i="1"/>
  <c r="M519" i="1"/>
  <c r="L519" i="1"/>
  <c r="K519" i="1"/>
  <c r="J519" i="1"/>
  <c r="I519" i="1"/>
  <c r="H519" i="1"/>
  <c r="O518" i="1"/>
  <c r="P518" i="1" s="1"/>
  <c r="O517" i="1"/>
  <c r="O519" i="1" s="1"/>
  <c r="N516" i="1"/>
  <c r="M516" i="1"/>
  <c r="L516" i="1"/>
  <c r="K516" i="1"/>
  <c r="J516" i="1"/>
  <c r="I516" i="1"/>
  <c r="H516" i="1"/>
  <c r="O515" i="1"/>
  <c r="P514" i="1"/>
  <c r="O514" i="1"/>
  <c r="N513" i="1"/>
  <c r="M513" i="1"/>
  <c r="L513" i="1"/>
  <c r="K513" i="1"/>
  <c r="J513" i="1"/>
  <c r="I513" i="1"/>
  <c r="H513" i="1"/>
  <c r="O512" i="1"/>
  <c r="P512" i="1" s="1"/>
  <c r="O511" i="1"/>
  <c r="O513" i="1" s="1"/>
  <c r="N510" i="1"/>
  <c r="M510" i="1"/>
  <c r="L510" i="1"/>
  <c r="K510" i="1"/>
  <c r="J510" i="1"/>
  <c r="I510" i="1"/>
  <c r="H510" i="1"/>
  <c r="P509" i="1"/>
  <c r="O509" i="1"/>
  <c r="O508" i="1"/>
  <c r="N507" i="1"/>
  <c r="M507" i="1"/>
  <c r="L507" i="1"/>
  <c r="K507" i="1"/>
  <c r="J507" i="1"/>
  <c r="I507" i="1"/>
  <c r="H507" i="1"/>
  <c r="P506" i="1"/>
  <c r="O506" i="1"/>
  <c r="P505" i="1"/>
  <c r="O505" i="1"/>
  <c r="O507" i="1" s="1"/>
  <c r="O504" i="1"/>
  <c r="N504" i="1"/>
  <c r="M504" i="1"/>
  <c r="L504" i="1"/>
  <c r="K504" i="1"/>
  <c r="J504" i="1"/>
  <c r="I504" i="1"/>
  <c r="H504" i="1"/>
  <c r="P503" i="1"/>
  <c r="P502" i="1"/>
  <c r="O502" i="1"/>
  <c r="N501" i="1"/>
  <c r="M501" i="1"/>
  <c r="L501" i="1"/>
  <c r="K501" i="1"/>
  <c r="J501" i="1"/>
  <c r="I501" i="1"/>
  <c r="H501" i="1"/>
  <c r="P501" i="1" s="1"/>
  <c r="O500" i="1"/>
  <c r="P500" i="1" s="1"/>
  <c r="P499" i="1"/>
  <c r="O499" i="1"/>
  <c r="O501" i="1" s="1"/>
  <c r="N498" i="1"/>
  <c r="M498" i="1"/>
  <c r="L498" i="1"/>
  <c r="K498" i="1"/>
  <c r="J498" i="1"/>
  <c r="I498" i="1"/>
  <c r="H498" i="1"/>
  <c r="P497" i="1"/>
  <c r="O497" i="1"/>
  <c r="O496" i="1"/>
  <c r="P496" i="1" s="1"/>
  <c r="N495" i="1"/>
  <c r="M495" i="1"/>
  <c r="L495" i="1"/>
  <c r="K495" i="1"/>
  <c r="J495" i="1"/>
  <c r="I495" i="1"/>
  <c r="H495" i="1"/>
  <c r="P494" i="1"/>
  <c r="O493" i="1"/>
  <c r="O495" i="1" s="1"/>
  <c r="N492" i="1"/>
  <c r="M492" i="1"/>
  <c r="L492" i="1"/>
  <c r="K492" i="1"/>
  <c r="J492" i="1"/>
  <c r="I492" i="1"/>
  <c r="H492" i="1"/>
  <c r="O491" i="1"/>
  <c r="P491" i="1" s="1"/>
  <c r="O490" i="1"/>
  <c r="N489" i="1"/>
  <c r="M489" i="1"/>
  <c r="L489" i="1"/>
  <c r="K489" i="1"/>
  <c r="J489" i="1"/>
  <c r="I489" i="1"/>
  <c r="H489" i="1"/>
  <c r="P488" i="1"/>
  <c r="O488" i="1"/>
  <c r="O487" i="1"/>
  <c r="O486" i="1"/>
  <c r="N486" i="1"/>
  <c r="M486" i="1"/>
  <c r="L486" i="1"/>
  <c r="K486" i="1"/>
  <c r="J486" i="1"/>
  <c r="I486" i="1"/>
  <c r="H486" i="1"/>
  <c r="P485" i="1"/>
  <c r="P484" i="1"/>
  <c r="N483" i="1"/>
  <c r="M483" i="1"/>
  <c r="L483" i="1"/>
  <c r="K483" i="1"/>
  <c r="J483" i="1"/>
  <c r="I483" i="1"/>
  <c r="H483" i="1"/>
  <c r="O482" i="1"/>
  <c r="P482" i="1" s="1"/>
  <c r="O481" i="1"/>
  <c r="O483" i="1" s="1"/>
  <c r="N480" i="1"/>
  <c r="M480" i="1"/>
  <c r="L480" i="1"/>
  <c r="K480" i="1"/>
  <c r="J480" i="1"/>
  <c r="I480" i="1"/>
  <c r="H480" i="1"/>
  <c r="P479" i="1"/>
  <c r="O479" i="1"/>
  <c r="O478" i="1"/>
  <c r="N477" i="1"/>
  <c r="M477" i="1"/>
  <c r="L477" i="1"/>
  <c r="K477" i="1"/>
  <c r="J477" i="1"/>
  <c r="I477" i="1"/>
  <c r="H477" i="1"/>
  <c r="P476" i="1"/>
  <c r="O476" i="1"/>
  <c r="P475" i="1"/>
  <c r="O475" i="1"/>
  <c r="O477" i="1" s="1"/>
  <c r="N474" i="1"/>
  <c r="M474" i="1"/>
  <c r="L474" i="1"/>
  <c r="K474" i="1"/>
  <c r="J474" i="1"/>
  <c r="I474" i="1"/>
  <c r="O473" i="1"/>
  <c r="O474" i="1" s="1"/>
  <c r="H473" i="1"/>
  <c r="H474" i="1" s="1"/>
  <c r="P472" i="1"/>
  <c r="O472" i="1"/>
  <c r="H472" i="1"/>
  <c r="N471" i="1"/>
  <c r="M471" i="1"/>
  <c r="L471" i="1"/>
  <c r="K471" i="1"/>
  <c r="J471" i="1"/>
  <c r="I471" i="1"/>
  <c r="H471" i="1"/>
  <c r="O470" i="1"/>
  <c r="O469" i="1"/>
  <c r="P469" i="1" s="1"/>
  <c r="N468" i="1"/>
  <c r="M468" i="1"/>
  <c r="L468" i="1"/>
  <c r="K468" i="1"/>
  <c r="J468" i="1"/>
  <c r="I468" i="1"/>
  <c r="H468" i="1"/>
  <c r="O467" i="1"/>
  <c r="P467" i="1" s="1"/>
  <c r="P466" i="1"/>
  <c r="O466" i="1"/>
  <c r="N465" i="1"/>
  <c r="M465" i="1"/>
  <c r="L465" i="1"/>
  <c r="K465" i="1"/>
  <c r="J465" i="1"/>
  <c r="I465" i="1"/>
  <c r="H465" i="1"/>
  <c r="O464" i="1"/>
  <c r="P464" i="1" s="1"/>
  <c r="O463" i="1"/>
  <c r="N462" i="1"/>
  <c r="M462" i="1"/>
  <c r="L462" i="1"/>
  <c r="K462" i="1"/>
  <c r="J462" i="1"/>
  <c r="I462" i="1"/>
  <c r="H462" i="1"/>
  <c r="P461" i="1"/>
  <c r="O461" i="1"/>
  <c r="O460" i="1"/>
  <c r="O462" i="1" s="1"/>
  <c r="N459" i="1"/>
  <c r="M459" i="1"/>
  <c r="L459" i="1"/>
  <c r="K459" i="1"/>
  <c r="J459" i="1"/>
  <c r="I459" i="1"/>
  <c r="H459" i="1"/>
  <c r="O458" i="1"/>
  <c r="P458" i="1" s="1"/>
  <c r="O457" i="1"/>
  <c r="P457" i="1" s="1"/>
  <c r="N456" i="1"/>
  <c r="M456" i="1"/>
  <c r="L456" i="1"/>
  <c r="K456" i="1"/>
  <c r="J456" i="1"/>
  <c r="I456" i="1"/>
  <c r="H456" i="1"/>
  <c r="O455" i="1"/>
  <c r="P455" i="1" s="1"/>
  <c r="O454" i="1"/>
  <c r="O456" i="1" s="1"/>
  <c r="N453" i="1"/>
  <c r="M453" i="1"/>
  <c r="L453" i="1"/>
  <c r="K453" i="1"/>
  <c r="J453" i="1"/>
  <c r="I453" i="1"/>
  <c r="H453" i="1"/>
  <c r="P452" i="1"/>
  <c r="O452" i="1"/>
  <c r="O451" i="1"/>
  <c r="N450" i="1"/>
  <c r="M450" i="1"/>
  <c r="L450" i="1"/>
  <c r="K450" i="1"/>
  <c r="J450" i="1"/>
  <c r="I450" i="1"/>
  <c r="H450" i="1"/>
  <c r="P449" i="1"/>
  <c r="O449" i="1"/>
  <c r="P448" i="1"/>
  <c r="O448" i="1"/>
  <c r="O450" i="1" s="1"/>
  <c r="O447" i="1"/>
  <c r="N447" i="1"/>
  <c r="M447" i="1"/>
  <c r="L447" i="1"/>
  <c r="K447" i="1"/>
  <c r="J447" i="1"/>
  <c r="I447" i="1"/>
  <c r="H446" i="1"/>
  <c r="H447" i="1" s="1"/>
  <c r="P445" i="1"/>
  <c r="H445" i="1"/>
  <c r="N444" i="1"/>
  <c r="M444" i="1"/>
  <c r="L444" i="1"/>
  <c r="K444" i="1"/>
  <c r="J444" i="1"/>
  <c r="I444" i="1"/>
  <c r="H444" i="1"/>
  <c r="O443" i="1"/>
  <c r="P443" i="1" s="1"/>
  <c r="P442" i="1"/>
  <c r="O442" i="1"/>
  <c r="O444" i="1" s="1"/>
  <c r="N441" i="1"/>
  <c r="M441" i="1"/>
  <c r="L441" i="1"/>
  <c r="K441" i="1"/>
  <c r="J441" i="1"/>
  <c r="I441" i="1"/>
  <c r="H441" i="1"/>
  <c r="P440" i="1"/>
  <c r="O440" i="1"/>
  <c r="O439" i="1"/>
  <c r="N438" i="1"/>
  <c r="M438" i="1"/>
  <c r="L438" i="1"/>
  <c r="K438" i="1"/>
  <c r="J438" i="1"/>
  <c r="I438" i="1"/>
  <c r="H438" i="1"/>
  <c r="O437" i="1"/>
  <c r="O438" i="1" s="1"/>
  <c r="P436" i="1"/>
  <c r="O436" i="1"/>
  <c r="N435" i="1"/>
  <c r="M435" i="1"/>
  <c r="L435" i="1"/>
  <c r="K435" i="1"/>
  <c r="J435" i="1"/>
  <c r="I435" i="1"/>
  <c r="H435" i="1"/>
  <c r="O434" i="1"/>
  <c r="O433" i="1"/>
  <c r="P433" i="1" s="1"/>
  <c r="N432" i="1"/>
  <c r="M432" i="1"/>
  <c r="L432" i="1"/>
  <c r="K432" i="1"/>
  <c r="J432" i="1"/>
  <c r="I432" i="1"/>
  <c r="H432" i="1"/>
  <c r="O431" i="1"/>
  <c r="P431" i="1" s="1"/>
  <c r="O430" i="1"/>
  <c r="O432" i="1" s="1"/>
  <c r="N429" i="1"/>
  <c r="M429" i="1"/>
  <c r="L429" i="1"/>
  <c r="K429" i="1"/>
  <c r="J429" i="1"/>
  <c r="I429" i="1"/>
  <c r="H429" i="1"/>
  <c r="P428" i="1"/>
  <c r="O427" i="1"/>
  <c r="P427" i="1" s="1"/>
  <c r="N426" i="1"/>
  <c r="M426" i="1"/>
  <c r="L426" i="1"/>
  <c r="K426" i="1"/>
  <c r="J426" i="1"/>
  <c r="I426" i="1"/>
  <c r="H426" i="1"/>
  <c r="O425" i="1"/>
  <c r="O426" i="1" s="1"/>
  <c r="O424" i="1"/>
  <c r="P424" i="1" s="1"/>
  <c r="N423" i="1"/>
  <c r="M423" i="1"/>
  <c r="L423" i="1"/>
  <c r="K423" i="1"/>
  <c r="J423" i="1"/>
  <c r="I423" i="1"/>
  <c r="H423" i="1"/>
  <c r="P422" i="1"/>
  <c r="O421" i="1"/>
  <c r="N420" i="1"/>
  <c r="M420" i="1"/>
  <c r="L420" i="1"/>
  <c r="K420" i="1"/>
  <c r="J420" i="1"/>
  <c r="I420" i="1"/>
  <c r="H420" i="1"/>
  <c r="P419" i="1"/>
  <c r="O418" i="1"/>
  <c r="P418" i="1" s="1"/>
  <c r="N417" i="1"/>
  <c r="M417" i="1"/>
  <c r="L417" i="1"/>
  <c r="K417" i="1"/>
  <c r="J417" i="1"/>
  <c r="I417" i="1"/>
  <c r="H417" i="1"/>
  <c r="P416" i="1"/>
  <c r="O415" i="1"/>
  <c r="O417" i="1" s="1"/>
  <c r="N414" i="1"/>
  <c r="M414" i="1"/>
  <c r="L414" i="1"/>
  <c r="K414" i="1"/>
  <c r="J414" i="1"/>
  <c r="I414" i="1"/>
  <c r="H414" i="1"/>
  <c r="P413" i="1"/>
  <c r="O412" i="1"/>
  <c r="O414" i="1" s="1"/>
  <c r="N411" i="1"/>
  <c r="M411" i="1"/>
  <c r="L411" i="1"/>
  <c r="K411" i="1"/>
  <c r="J411" i="1"/>
  <c r="I411" i="1"/>
  <c r="H411" i="1"/>
  <c r="P410" i="1"/>
  <c r="O409" i="1"/>
  <c r="O411" i="1" s="1"/>
  <c r="N408" i="1"/>
  <c r="M408" i="1"/>
  <c r="L408" i="1"/>
  <c r="K408" i="1"/>
  <c r="J408" i="1"/>
  <c r="I408" i="1"/>
  <c r="H408" i="1"/>
  <c r="P407" i="1"/>
  <c r="P406" i="1"/>
  <c r="O406" i="1"/>
  <c r="O408" i="1" s="1"/>
  <c r="N405" i="1"/>
  <c r="M405" i="1"/>
  <c r="L405" i="1"/>
  <c r="K405" i="1"/>
  <c r="J405" i="1"/>
  <c r="I405" i="1"/>
  <c r="H405" i="1"/>
  <c r="P404" i="1"/>
  <c r="O403" i="1"/>
  <c r="O402" i="1"/>
  <c r="N402" i="1"/>
  <c r="M402" i="1"/>
  <c r="P401" i="1"/>
  <c r="O400" i="1"/>
  <c r="L400" i="1"/>
  <c r="L402" i="1" s="1"/>
  <c r="K400" i="1"/>
  <c r="K402" i="1" s="1"/>
  <c r="J400" i="1"/>
  <c r="J402" i="1" s="1"/>
  <c r="I400" i="1"/>
  <c r="I402" i="1" s="1"/>
  <c r="H400" i="1"/>
  <c r="N399" i="1"/>
  <c r="M399" i="1"/>
  <c r="L399" i="1"/>
  <c r="K399" i="1"/>
  <c r="J399" i="1"/>
  <c r="I399" i="1"/>
  <c r="H399" i="1"/>
  <c r="P398" i="1"/>
  <c r="O397" i="1"/>
  <c r="P397" i="1" s="1"/>
  <c r="N396" i="1"/>
  <c r="M396" i="1"/>
  <c r="P395" i="1"/>
  <c r="O394" i="1"/>
  <c r="O396" i="1" s="1"/>
  <c r="L394" i="1"/>
  <c r="L396" i="1" s="1"/>
  <c r="K394" i="1"/>
  <c r="K396" i="1" s="1"/>
  <c r="J394" i="1"/>
  <c r="J396" i="1" s="1"/>
  <c r="I394" i="1"/>
  <c r="I396" i="1" s="1"/>
  <c r="H394" i="1"/>
  <c r="H396" i="1" s="1"/>
  <c r="O393" i="1"/>
  <c r="N393" i="1"/>
  <c r="M393" i="1"/>
  <c r="P392" i="1"/>
  <c r="O391" i="1"/>
  <c r="L391" i="1"/>
  <c r="L393" i="1" s="1"/>
  <c r="K391" i="1"/>
  <c r="K393" i="1" s="1"/>
  <c r="J391" i="1"/>
  <c r="J393" i="1" s="1"/>
  <c r="I391" i="1"/>
  <c r="I393" i="1" s="1"/>
  <c r="H391" i="1"/>
  <c r="H393" i="1" s="1"/>
  <c r="N390" i="1"/>
  <c r="M390" i="1"/>
  <c r="P389" i="1"/>
  <c r="O388" i="1"/>
  <c r="O390" i="1" s="1"/>
  <c r="L388" i="1"/>
  <c r="L390" i="1" s="1"/>
  <c r="K388" i="1"/>
  <c r="J388" i="1"/>
  <c r="J390" i="1" s="1"/>
  <c r="I388" i="1"/>
  <c r="I390" i="1" s="1"/>
  <c r="H388" i="1"/>
  <c r="H390" i="1" s="1"/>
  <c r="N387" i="1"/>
  <c r="M387" i="1"/>
  <c r="L387" i="1"/>
  <c r="H387" i="1"/>
  <c r="P386" i="1"/>
  <c r="O385" i="1"/>
  <c r="O387" i="1" s="1"/>
  <c r="K385" i="1"/>
  <c r="K387" i="1" s="1"/>
  <c r="J385" i="1"/>
  <c r="J387" i="1" s="1"/>
  <c r="I385" i="1"/>
  <c r="I387" i="1" s="1"/>
  <c r="H385" i="1"/>
  <c r="N384" i="1"/>
  <c r="M384" i="1"/>
  <c r="L384" i="1"/>
  <c r="K384" i="1"/>
  <c r="J384" i="1"/>
  <c r="I384" i="1"/>
  <c r="H384" i="1"/>
  <c r="P383" i="1"/>
  <c r="O382" i="1"/>
  <c r="P382" i="1" s="1"/>
  <c r="N381" i="1"/>
  <c r="M381" i="1"/>
  <c r="L381" i="1"/>
  <c r="K381" i="1"/>
  <c r="J381" i="1"/>
  <c r="I381" i="1"/>
  <c r="H381" i="1"/>
  <c r="P380" i="1"/>
  <c r="O379" i="1"/>
  <c r="N378" i="1"/>
  <c r="M378" i="1"/>
  <c r="L378" i="1"/>
  <c r="K378" i="1"/>
  <c r="J378" i="1"/>
  <c r="I378" i="1"/>
  <c r="H378" i="1"/>
  <c r="P377" i="1"/>
  <c r="O376" i="1"/>
  <c r="O378" i="1" s="1"/>
  <c r="N375" i="1"/>
  <c r="M375" i="1"/>
  <c r="L375" i="1"/>
  <c r="K375" i="1"/>
  <c r="J375" i="1"/>
  <c r="I375" i="1"/>
  <c r="H375" i="1"/>
  <c r="P374" i="1"/>
  <c r="O373" i="1"/>
  <c r="O375" i="1" s="1"/>
  <c r="N372" i="1"/>
  <c r="M372" i="1"/>
  <c r="L372" i="1"/>
  <c r="K372" i="1"/>
  <c r="J372" i="1"/>
  <c r="I372" i="1"/>
  <c r="H372" i="1"/>
  <c r="P371" i="1"/>
  <c r="O370" i="1"/>
  <c r="P370" i="1" s="1"/>
  <c r="N369" i="1"/>
  <c r="M369" i="1"/>
  <c r="L369" i="1"/>
  <c r="K369" i="1"/>
  <c r="J369" i="1"/>
  <c r="I369" i="1"/>
  <c r="H369" i="1"/>
  <c r="P368" i="1"/>
  <c r="P367" i="1"/>
  <c r="O367" i="1"/>
  <c r="O369" i="1" s="1"/>
  <c r="N366" i="1"/>
  <c r="M366" i="1"/>
  <c r="L366" i="1"/>
  <c r="K366" i="1"/>
  <c r="J366" i="1"/>
  <c r="I366" i="1"/>
  <c r="H366" i="1"/>
  <c r="P365" i="1"/>
  <c r="O364" i="1"/>
  <c r="O366" i="1" s="1"/>
  <c r="N363" i="1"/>
  <c r="M363" i="1"/>
  <c r="L363" i="1"/>
  <c r="K363" i="1"/>
  <c r="J363" i="1"/>
  <c r="I363" i="1"/>
  <c r="H363" i="1"/>
  <c r="P362" i="1"/>
  <c r="O361" i="1"/>
  <c r="P361" i="1" s="1"/>
  <c r="O360" i="1"/>
  <c r="N360" i="1"/>
  <c r="M360" i="1"/>
  <c r="L360" i="1"/>
  <c r="K360" i="1"/>
  <c r="J360" i="1"/>
  <c r="I360" i="1"/>
  <c r="H360" i="1"/>
  <c r="P360" i="1" s="1"/>
  <c r="P359" i="1"/>
  <c r="P358" i="1"/>
  <c r="N357" i="1"/>
  <c r="M357" i="1"/>
  <c r="L357" i="1"/>
  <c r="K357" i="1"/>
  <c r="J357" i="1"/>
  <c r="I357" i="1"/>
  <c r="H357" i="1"/>
  <c r="P356" i="1"/>
  <c r="O355" i="1"/>
  <c r="P355" i="1" s="1"/>
  <c r="N354" i="1"/>
  <c r="M354" i="1"/>
  <c r="I354" i="1"/>
  <c r="H354" i="1"/>
  <c r="P353" i="1"/>
  <c r="O352" i="1"/>
  <c r="O354" i="1" s="1"/>
  <c r="L352" i="1"/>
  <c r="L354" i="1" s="1"/>
  <c r="K352" i="1"/>
  <c r="K354" i="1" s="1"/>
  <c r="J352" i="1"/>
  <c r="J354" i="1" s="1"/>
  <c r="I352" i="1"/>
  <c r="H352" i="1"/>
  <c r="P352" i="1" s="1"/>
  <c r="O351" i="1"/>
  <c r="N351" i="1"/>
  <c r="M351" i="1"/>
  <c r="L351" i="1"/>
  <c r="K351" i="1"/>
  <c r="J351" i="1"/>
  <c r="I351" i="1"/>
  <c r="H351" i="1"/>
  <c r="P350" i="1"/>
  <c r="O349" i="1"/>
  <c r="P349" i="1" s="1"/>
  <c r="N348" i="1"/>
  <c r="M348" i="1"/>
  <c r="L348" i="1"/>
  <c r="K348" i="1"/>
  <c r="J348" i="1"/>
  <c r="I348" i="1"/>
  <c r="H348" i="1"/>
  <c r="P347" i="1"/>
  <c r="O346" i="1"/>
  <c r="O348" i="1" s="1"/>
  <c r="N345" i="1"/>
  <c r="M345" i="1"/>
  <c r="L345" i="1"/>
  <c r="K345" i="1"/>
  <c r="J345" i="1"/>
  <c r="I345" i="1"/>
  <c r="H345" i="1"/>
  <c r="P344" i="1"/>
  <c r="O343" i="1"/>
  <c r="O342" i="1"/>
  <c r="N342" i="1"/>
  <c r="O341" i="1"/>
  <c r="N341" i="1"/>
  <c r="M341" i="1"/>
  <c r="M342" i="1" s="1"/>
  <c r="L341" i="1"/>
  <c r="L342" i="1" s="1"/>
  <c r="K341" i="1"/>
  <c r="K342" i="1" s="1"/>
  <c r="J341" i="1"/>
  <c r="J342" i="1" s="1"/>
  <c r="I341" i="1"/>
  <c r="I342" i="1" s="1"/>
  <c r="H341" i="1"/>
  <c r="H342" i="1" s="1"/>
  <c r="P340" i="1"/>
  <c r="O340" i="1"/>
  <c r="N339" i="1"/>
  <c r="M339" i="1"/>
  <c r="L339" i="1"/>
  <c r="K339" i="1"/>
  <c r="J339" i="1"/>
  <c r="I339" i="1"/>
  <c r="H339" i="1"/>
  <c r="P338" i="1"/>
  <c r="O337" i="1"/>
  <c r="N336" i="1"/>
  <c r="M336" i="1"/>
  <c r="L336" i="1"/>
  <c r="K336" i="1"/>
  <c r="J336" i="1"/>
  <c r="I336" i="1"/>
  <c r="H336" i="1"/>
  <c r="P335" i="1"/>
  <c r="O334" i="1"/>
  <c r="P334" i="1" s="1"/>
  <c r="O333" i="1"/>
  <c r="N333" i="1"/>
  <c r="M333" i="1"/>
  <c r="L333" i="1"/>
  <c r="K333" i="1"/>
  <c r="J333" i="1"/>
  <c r="I333" i="1"/>
  <c r="H333" i="1"/>
  <c r="P332" i="1"/>
  <c r="P331" i="1"/>
  <c r="O330" i="1"/>
  <c r="N330" i="1"/>
  <c r="M330" i="1"/>
  <c r="L330" i="1"/>
  <c r="K330" i="1"/>
  <c r="J330" i="1"/>
  <c r="I330" i="1"/>
  <c r="H330" i="1"/>
  <c r="P329" i="1"/>
  <c r="P328" i="1"/>
  <c r="N327" i="1"/>
  <c r="M327" i="1"/>
  <c r="L327" i="1"/>
  <c r="K327" i="1"/>
  <c r="J327" i="1"/>
  <c r="I327" i="1"/>
  <c r="H327" i="1"/>
  <c r="P326" i="1"/>
  <c r="O325" i="1"/>
  <c r="O327" i="1" s="1"/>
  <c r="N324" i="1"/>
  <c r="M324" i="1"/>
  <c r="L324" i="1"/>
  <c r="K324" i="1"/>
  <c r="J324" i="1"/>
  <c r="I324" i="1"/>
  <c r="H324" i="1"/>
  <c r="P323" i="1"/>
  <c r="O322" i="1"/>
  <c r="O324" i="1" s="1"/>
  <c r="O321" i="1"/>
  <c r="N321" i="1"/>
  <c r="M321" i="1"/>
  <c r="L321" i="1"/>
  <c r="K321" i="1"/>
  <c r="J321" i="1"/>
  <c r="I321" i="1"/>
  <c r="H321" i="1"/>
  <c r="P320" i="1"/>
  <c r="P319" i="1"/>
  <c r="O319" i="1"/>
  <c r="N318" i="1"/>
  <c r="M318" i="1"/>
  <c r="L318" i="1"/>
  <c r="K318" i="1"/>
  <c r="J318" i="1"/>
  <c r="I318" i="1"/>
  <c r="H318" i="1"/>
  <c r="P317" i="1"/>
  <c r="P316" i="1"/>
  <c r="O316" i="1"/>
  <c r="O318" i="1" s="1"/>
  <c r="O315" i="1"/>
  <c r="N315" i="1"/>
  <c r="M315" i="1"/>
  <c r="L315" i="1"/>
  <c r="K315" i="1"/>
  <c r="J315" i="1"/>
  <c r="I315" i="1"/>
  <c r="H315" i="1"/>
  <c r="P314" i="1"/>
  <c r="P313" i="1"/>
  <c r="O312" i="1"/>
  <c r="N312" i="1"/>
  <c r="M312" i="1"/>
  <c r="L312" i="1"/>
  <c r="K312" i="1"/>
  <c r="J312" i="1"/>
  <c r="H312" i="1"/>
  <c r="I311" i="1"/>
  <c r="I312" i="1" s="1"/>
  <c r="H311" i="1"/>
  <c r="I310" i="1"/>
  <c r="P310" i="1" s="1"/>
  <c r="N309" i="1"/>
  <c r="M309" i="1"/>
  <c r="L309" i="1"/>
  <c r="K309" i="1"/>
  <c r="J309" i="1"/>
  <c r="I309" i="1"/>
  <c r="H309" i="1"/>
  <c r="P308" i="1"/>
  <c r="P307" i="1"/>
  <c r="O307" i="1"/>
  <c r="O309" i="1" s="1"/>
  <c r="N306" i="1"/>
  <c r="M306" i="1"/>
  <c r="L306" i="1"/>
  <c r="K306" i="1"/>
  <c r="J306" i="1"/>
  <c r="I306" i="1"/>
  <c r="H306" i="1"/>
  <c r="P305" i="1"/>
  <c r="O304" i="1"/>
  <c r="O303" i="1"/>
  <c r="N303" i="1"/>
  <c r="M303" i="1"/>
  <c r="L303" i="1"/>
  <c r="K303" i="1"/>
  <c r="J303" i="1"/>
  <c r="I303" i="1"/>
  <c r="H303" i="1"/>
  <c r="P302" i="1"/>
  <c r="P301" i="1"/>
  <c r="O301" i="1"/>
  <c r="N300" i="1"/>
  <c r="M300" i="1"/>
  <c r="L300" i="1"/>
  <c r="K300" i="1"/>
  <c r="J300" i="1"/>
  <c r="I300" i="1"/>
  <c r="H300" i="1"/>
  <c r="P299" i="1"/>
  <c r="O298" i="1"/>
  <c r="P298" i="1" s="1"/>
  <c r="N297" i="1"/>
  <c r="M297" i="1"/>
  <c r="L297" i="1"/>
  <c r="K297" i="1"/>
  <c r="P296" i="1"/>
  <c r="O295" i="1"/>
  <c r="O297" i="1" s="1"/>
  <c r="L295" i="1"/>
  <c r="K295" i="1"/>
  <c r="J295" i="1"/>
  <c r="I295" i="1"/>
  <c r="I297" i="1" s="1"/>
  <c r="H295" i="1"/>
  <c r="H297" i="1" s="1"/>
  <c r="O294" i="1"/>
  <c r="N294" i="1"/>
  <c r="M294" i="1"/>
  <c r="L294" i="1"/>
  <c r="K294" i="1"/>
  <c r="J294" i="1"/>
  <c r="I294" i="1"/>
  <c r="H294" i="1"/>
  <c r="P293" i="1"/>
  <c r="P292" i="1"/>
  <c r="O291" i="1"/>
  <c r="N291" i="1"/>
  <c r="M291" i="1"/>
  <c r="L291" i="1"/>
  <c r="K291" i="1"/>
  <c r="J291" i="1"/>
  <c r="I291" i="1"/>
  <c r="H291" i="1"/>
  <c r="P290" i="1"/>
  <c r="P289" i="1"/>
  <c r="N288" i="1"/>
  <c r="M288" i="1"/>
  <c r="L288" i="1"/>
  <c r="K288" i="1"/>
  <c r="J288" i="1"/>
  <c r="I288" i="1"/>
  <c r="H288" i="1"/>
  <c r="P287" i="1"/>
  <c r="O286" i="1"/>
  <c r="P286" i="1" s="1"/>
  <c r="N285" i="1"/>
  <c r="M285" i="1"/>
  <c r="L285" i="1"/>
  <c r="K285" i="1"/>
  <c r="J285" i="1"/>
  <c r="I285" i="1"/>
  <c r="H285" i="1"/>
  <c r="P284" i="1"/>
  <c r="O283" i="1"/>
  <c r="O282" i="1"/>
  <c r="N282" i="1"/>
  <c r="M282" i="1"/>
  <c r="L282" i="1"/>
  <c r="K282" i="1"/>
  <c r="J282" i="1"/>
  <c r="I282" i="1"/>
  <c r="H282" i="1"/>
  <c r="P281" i="1"/>
  <c r="P280" i="1"/>
  <c r="O280" i="1"/>
  <c r="O279" i="1"/>
  <c r="N279" i="1"/>
  <c r="M279" i="1"/>
  <c r="L279" i="1"/>
  <c r="K279" i="1"/>
  <c r="J279" i="1"/>
  <c r="I279" i="1"/>
  <c r="H279" i="1"/>
  <c r="P278" i="1"/>
  <c r="P277" i="1"/>
  <c r="L277" i="1"/>
  <c r="N276" i="1"/>
  <c r="M276" i="1"/>
  <c r="L276" i="1"/>
  <c r="K276" i="1"/>
  <c r="J276" i="1"/>
  <c r="I276" i="1"/>
  <c r="H276" i="1"/>
  <c r="P275" i="1"/>
  <c r="O274" i="1"/>
  <c r="O276" i="1" s="1"/>
  <c r="N273" i="1"/>
  <c r="M273" i="1"/>
  <c r="L273" i="1"/>
  <c r="K273" i="1"/>
  <c r="J273" i="1"/>
  <c r="I273" i="1"/>
  <c r="H273" i="1"/>
  <c r="O272" i="1"/>
  <c r="O273" i="1" s="1"/>
  <c r="P271" i="1"/>
  <c r="O271" i="1"/>
  <c r="N270" i="1"/>
  <c r="M270" i="1"/>
  <c r="L270" i="1"/>
  <c r="K270" i="1"/>
  <c r="J270" i="1"/>
  <c r="I270" i="1"/>
  <c r="H270" i="1"/>
  <c r="P269" i="1"/>
  <c r="O269" i="1"/>
  <c r="O268" i="1"/>
  <c r="P268" i="1" s="1"/>
  <c r="N267" i="1"/>
  <c r="M267" i="1"/>
  <c r="L267" i="1"/>
  <c r="K267" i="1"/>
  <c r="J267" i="1"/>
  <c r="I267" i="1"/>
  <c r="H267" i="1"/>
  <c r="P266" i="1"/>
  <c r="O265" i="1"/>
  <c r="N264" i="1"/>
  <c r="M264" i="1"/>
  <c r="L264" i="1"/>
  <c r="K264" i="1"/>
  <c r="J264" i="1"/>
  <c r="I264" i="1"/>
  <c r="H264" i="1"/>
  <c r="P263" i="1"/>
  <c r="O262" i="1"/>
  <c r="P262" i="1" s="1"/>
  <c r="N261" i="1"/>
  <c r="M261" i="1"/>
  <c r="L261" i="1"/>
  <c r="K261" i="1"/>
  <c r="J261" i="1"/>
  <c r="I261" i="1"/>
  <c r="H261" i="1"/>
  <c r="P260" i="1"/>
  <c r="O259" i="1"/>
  <c r="P259" i="1" s="1"/>
  <c r="O258" i="1"/>
  <c r="N258" i="1"/>
  <c r="M258" i="1"/>
  <c r="L258" i="1"/>
  <c r="J258" i="1"/>
  <c r="I258" i="1"/>
  <c r="K257" i="1"/>
  <c r="J257" i="1"/>
  <c r="I257" i="1"/>
  <c r="H257" i="1"/>
  <c r="H258" i="1" s="1"/>
  <c r="K256" i="1"/>
  <c r="L255" i="1"/>
  <c r="O254" i="1"/>
  <c r="N254" i="1"/>
  <c r="N255" i="1" s="1"/>
  <c r="M254" i="1"/>
  <c r="M255" i="1" s="1"/>
  <c r="L254" i="1"/>
  <c r="K254" i="1"/>
  <c r="K255" i="1" s="1"/>
  <c r="J254" i="1"/>
  <c r="J255" i="1" s="1"/>
  <c r="I254" i="1"/>
  <c r="I255" i="1" s="1"/>
  <c r="H254" i="1"/>
  <c r="H255" i="1" s="1"/>
  <c r="O253" i="1"/>
  <c r="O252" i="1"/>
  <c r="N252" i="1"/>
  <c r="M252" i="1"/>
  <c r="L252" i="1"/>
  <c r="I252" i="1"/>
  <c r="H252" i="1"/>
  <c r="K251" i="1"/>
  <c r="J251" i="1"/>
  <c r="I251" i="1"/>
  <c r="H251" i="1"/>
  <c r="P250" i="1"/>
  <c r="K250" i="1"/>
  <c r="O249" i="1"/>
  <c r="N249" i="1"/>
  <c r="M249" i="1"/>
  <c r="L249" i="1"/>
  <c r="K249" i="1"/>
  <c r="J249" i="1"/>
  <c r="I249" i="1"/>
  <c r="H249" i="1"/>
  <c r="P248" i="1"/>
  <c r="P247" i="1"/>
  <c r="O245" i="1"/>
  <c r="N245" i="1"/>
  <c r="N246" i="1" s="1"/>
  <c r="M245" i="1"/>
  <c r="M246" i="1" s="1"/>
  <c r="L245" i="1"/>
  <c r="L246" i="1" s="1"/>
  <c r="K245" i="1"/>
  <c r="K246" i="1" s="1"/>
  <c r="J245" i="1"/>
  <c r="J246" i="1" s="1"/>
  <c r="I245" i="1"/>
  <c r="I246" i="1" s="1"/>
  <c r="H245" i="1"/>
  <c r="H246" i="1" s="1"/>
  <c r="O244" i="1"/>
  <c r="O246" i="1" s="1"/>
  <c r="N243" i="1"/>
  <c r="L243" i="1"/>
  <c r="I243" i="1"/>
  <c r="O242" i="1"/>
  <c r="N242" i="1"/>
  <c r="M242" i="1"/>
  <c r="M243" i="1" s="1"/>
  <c r="L242" i="1"/>
  <c r="K242" i="1"/>
  <c r="K243" i="1" s="1"/>
  <c r="J242" i="1"/>
  <c r="J243" i="1" s="1"/>
  <c r="I242" i="1"/>
  <c r="H242" i="1"/>
  <c r="H243" i="1" s="1"/>
  <c r="P241" i="1"/>
  <c r="O241" i="1"/>
  <c r="O243" i="1" s="1"/>
  <c r="O240" i="1"/>
  <c r="N240" i="1"/>
  <c r="O239" i="1"/>
  <c r="M239" i="1"/>
  <c r="M240" i="1" s="1"/>
  <c r="L239" i="1"/>
  <c r="L240" i="1" s="1"/>
  <c r="K239" i="1"/>
  <c r="K240" i="1" s="1"/>
  <c r="J239" i="1"/>
  <c r="J240" i="1" s="1"/>
  <c r="I239" i="1"/>
  <c r="I240" i="1" s="1"/>
  <c r="H239" i="1"/>
  <c r="H240" i="1" s="1"/>
  <c r="O238" i="1"/>
  <c r="P238" i="1" s="1"/>
  <c r="O237" i="1"/>
  <c r="N237" i="1"/>
  <c r="M237" i="1"/>
  <c r="L237" i="1"/>
  <c r="J237" i="1"/>
  <c r="K236" i="1"/>
  <c r="J236" i="1"/>
  <c r="I236" i="1"/>
  <c r="I237" i="1" s="1"/>
  <c r="H236" i="1"/>
  <c r="H237" i="1" s="1"/>
  <c r="K235" i="1"/>
  <c r="N234" i="1"/>
  <c r="P234" i="1" s="1"/>
  <c r="M234" i="1"/>
  <c r="L234" i="1"/>
  <c r="K234" i="1"/>
  <c r="J234" i="1"/>
  <c r="I234" i="1"/>
  <c r="H234" i="1"/>
  <c r="P233" i="1"/>
  <c r="P232" i="1"/>
  <c r="O232" i="1"/>
  <c r="O234" i="1" s="1"/>
  <c r="O231" i="1"/>
  <c r="N231" i="1"/>
  <c r="M231" i="1"/>
  <c r="L231" i="1"/>
  <c r="K231" i="1"/>
  <c r="J231" i="1"/>
  <c r="I231" i="1"/>
  <c r="H231" i="1"/>
  <c r="P230" i="1"/>
  <c r="P229" i="1"/>
  <c r="O228" i="1"/>
  <c r="N228" i="1"/>
  <c r="M228" i="1"/>
  <c r="L228" i="1"/>
  <c r="K227" i="1"/>
  <c r="J227" i="1"/>
  <c r="J228" i="1" s="1"/>
  <c r="I227" i="1"/>
  <c r="I228" i="1" s="1"/>
  <c r="H227" i="1"/>
  <c r="K226" i="1"/>
  <c r="O225" i="1"/>
  <c r="N225" i="1"/>
  <c r="M225" i="1"/>
  <c r="L225" i="1"/>
  <c r="K225" i="1"/>
  <c r="K224" i="1"/>
  <c r="J224" i="1"/>
  <c r="J225" i="1" s="1"/>
  <c r="I224" i="1"/>
  <c r="I225" i="1" s="1"/>
  <c r="H224" i="1"/>
  <c r="H225" i="1" s="1"/>
  <c r="P223" i="1"/>
  <c r="O222" i="1"/>
  <c r="N222" i="1"/>
  <c r="M222" i="1"/>
  <c r="L222" i="1"/>
  <c r="K222" i="1"/>
  <c r="H222" i="1"/>
  <c r="J221" i="1"/>
  <c r="J222" i="1" s="1"/>
  <c r="I221" i="1"/>
  <c r="I222" i="1" s="1"/>
  <c r="H221" i="1"/>
  <c r="P220" i="1"/>
  <c r="J219" i="1"/>
  <c r="O218" i="1"/>
  <c r="N218" i="1"/>
  <c r="N219" i="1" s="1"/>
  <c r="M218" i="1"/>
  <c r="M219" i="1" s="1"/>
  <c r="L218" i="1"/>
  <c r="L219" i="1" s="1"/>
  <c r="K218" i="1"/>
  <c r="K219" i="1" s="1"/>
  <c r="J218" i="1"/>
  <c r="I218" i="1"/>
  <c r="I219" i="1" s="1"/>
  <c r="H218" i="1"/>
  <c r="H219" i="1" s="1"/>
  <c r="O217" i="1"/>
  <c r="O219" i="1" s="1"/>
  <c r="O216" i="1"/>
  <c r="N216" i="1"/>
  <c r="M216" i="1"/>
  <c r="L216" i="1"/>
  <c r="K216" i="1"/>
  <c r="J216" i="1"/>
  <c r="J215" i="1"/>
  <c r="I215" i="1"/>
  <c r="I216" i="1" s="1"/>
  <c r="H215" i="1"/>
  <c r="H216" i="1" s="1"/>
  <c r="J214" i="1"/>
  <c r="P214" i="1" s="1"/>
  <c r="O213" i="1"/>
  <c r="N213" i="1"/>
  <c r="M213" i="1"/>
  <c r="L213" i="1"/>
  <c r="K213" i="1"/>
  <c r="J212" i="1"/>
  <c r="I212" i="1"/>
  <c r="I213" i="1" s="1"/>
  <c r="H212" i="1"/>
  <c r="H213" i="1" s="1"/>
  <c r="J211" i="1"/>
  <c r="I210" i="1"/>
  <c r="O209" i="1"/>
  <c r="N209" i="1"/>
  <c r="N210" i="1" s="1"/>
  <c r="M209" i="1"/>
  <c r="M210" i="1" s="1"/>
  <c r="L209" i="1"/>
  <c r="L210" i="1" s="1"/>
  <c r="K209" i="1"/>
  <c r="K210" i="1" s="1"/>
  <c r="J209" i="1"/>
  <c r="J210" i="1" s="1"/>
  <c r="I209" i="1"/>
  <c r="H209" i="1"/>
  <c r="H210" i="1" s="1"/>
  <c r="O208" i="1"/>
  <c r="P208" i="1" s="1"/>
  <c r="M207" i="1"/>
  <c r="L207" i="1"/>
  <c r="J207" i="1"/>
  <c r="O206" i="1"/>
  <c r="O207" i="1" s="1"/>
  <c r="N206" i="1"/>
  <c r="N207" i="1" s="1"/>
  <c r="M206" i="1"/>
  <c r="L206" i="1"/>
  <c r="K206" i="1"/>
  <c r="K207" i="1" s="1"/>
  <c r="J206" i="1"/>
  <c r="I206" i="1"/>
  <c r="I207" i="1" s="1"/>
  <c r="H206" i="1"/>
  <c r="H207" i="1" s="1"/>
  <c r="P205" i="1"/>
  <c r="O203" i="1"/>
  <c r="N203" i="1"/>
  <c r="N204" i="1" s="1"/>
  <c r="M203" i="1"/>
  <c r="M204" i="1" s="1"/>
  <c r="L203" i="1"/>
  <c r="L204" i="1" s="1"/>
  <c r="K203" i="1"/>
  <c r="K204" i="1" s="1"/>
  <c r="J203" i="1"/>
  <c r="J204" i="1" s="1"/>
  <c r="I203" i="1"/>
  <c r="I204" i="1" s="1"/>
  <c r="H203" i="1"/>
  <c r="H204" i="1" s="1"/>
  <c r="O202" i="1"/>
  <c r="P202" i="1" s="1"/>
  <c r="M201" i="1"/>
  <c r="J201" i="1"/>
  <c r="H201" i="1"/>
  <c r="O200" i="1"/>
  <c r="N200" i="1"/>
  <c r="N201" i="1" s="1"/>
  <c r="M200" i="1"/>
  <c r="L200" i="1"/>
  <c r="L201" i="1" s="1"/>
  <c r="K200" i="1"/>
  <c r="K201" i="1" s="1"/>
  <c r="J200" i="1"/>
  <c r="I200" i="1"/>
  <c r="I201" i="1" s="1"/>
  <c r="H200" i="1"/>
  <c r="O199" i="1"/>
  <c r="O197" i="1"/>
  <c r="N197" i="1"/>
  <c r="N198" i="1" s="1"/>
  <c r="M197" i="1"/>
  <c r="M198" i="1" s="1"/>
  <c r="L197" i="1"/>
  <c r="L198" i="1" s="1"/>
  <c r="K197" i="1"/>
  <c r="K198" i="1" s="1"/>
  <c r="J197" i="1"/>
  <c r="J198" i="1" s="1"/>
  <c r="I197" i="1"/>
  <c r="I198" i="1" s="1"/>
  <c r="H197" i="1"/>
  <c r="H198" i="1" s="1"/>
  <c r="O196" i="1"/>
  <c r="P196" i="1" s="1"/>
  <c r="L195" i="1"/>
  <c r="J195" i="1"/>
  <c r="I195" i="1"/>
  <c r="O194" i="1"/>
  <c r="N194" i="1"/>
  <c r="N195" i="1" s="1"/>
  <c r="M194" i="1"/>
  <c r="M195" i="1" s="1"/>
  <c r="L194" i="1"/>
  <c r="K194" i="1"/>
  <c r="K195" i="1" s="1"/>
  <c r="J194" i="1"/>
  <c r="I194" i="1"/>
  <c r="H194" i="1"/>
  <c r="H195" i="1" s="1"/>
  <c r="O193" i="1"/>
  <c r="P193" i="1" s="1"/>
  <c r="O191" i="1"/>
  <c r="N191" i="1"/>
  <c r="N192" i="1" s="1"/>
  <c r="M191" i="1"/>
  <c r="M192" i="1" s="1"/>
  <c r="L191" i="1"/>
  <c r="L192" i="1" s="1"/>
  <c r="K191" i="1"/>
  <c r="K192" i="1" s="1"/>
  <c r="J191" i="1"/>
  <c r="J192" i="1" s="1"/>
  <c r="I191" i="1"/>
  <c r="I192" i="1" s="1"/>
  <c r="H191" i="1"/>
  <c r="H192" i="1" s="1"/>
  <c r="O190" i="1"/>
  <c r="O188" i="1"/>
  <c r="O189" i="1" s="1"/>
  <c r="N188" i="1"/>
  <c r="N189" i="1" s="1"/>
  <c r="M188" i="1"/>
  <c r="M189" i="1" s="1"/>
  <c r="L188" i="1"/>
  <c r="L189" i="1" s="1"/>
  <c r="K188" i="1"/>
  <c r="K189" i="1" s="1"/>
  <c r="J188" i="1"/>
  <c r="J189" i="1" s="1"/>
  <c r="I188" i="1"/>
  <c r="I189" i="1" s="1"/>
  <c r="H188" i="1"/>
  <c r="H189" i="1" s="1"/>
  <c r="P187" i="1"/>
  <c r="M186" i="1"/>
  <c r="O185" i="1"/>
  <c r="O186" i="1" s="1"/>
  <c r="N185" i="1"/>
  <c r="N186" i="1" s="1"/>
  <c r="M185" i="1"/>
  <c r="L185" i="1"/>
  <c r="L186" i="1" s="1"/>
  <c r="K185" i="1"/>
  <c r="K186" i="1" s="1"/>
  <c r="J185" i="1"/>
  <c r="J186" i="1" s="1"/>
  <c r="I185" i="1"/>
  <c r="I186" i="1" s="1"/>
  <c r="H185" i="1"/>
  <c r="H186" i="1" s="1"/>
  <c r="P184" i="1"/>
  <c r="O183" i="1"/>
  <c r="N183" i="1"/>
  <c r="M183" i="1"/>
  <c r="L183" i="1"/>
  <c r="K183" i="1"/>
  <c r="J183" i="1"/>
  <c r="I182" i="1"/>
  <c r="H182" i="1"/>
  <c r="H183" i="1" s="1"/>
  <c r="P181" i="1"/>
  <c r="I181" i="1"/>
  <c r="O180" i="1"/>
  <c r="N180" i="1"/>
  <c r="M180" i="1"/>
  <c r="L180" i="1"/>
  <c r="K180" i="1"/>
  <c r="J180" i="1"/>
  <c r="I179" i="1"/>
  <c r="H179" i="1"/>
  <c r="I178" i="1"/>
  <c r="O177" i="1"/>
  <c r="N177" i="1"/>
  <c r="M177" i="1"/>
  <c r="L177" i="1"/>
  <c r="K177" i="1"/>
  <c r="J177" i="1"/>
  <c r="I176" i="1"/>
  <c r="P176" i="1" s="1"/>
  <c r="H176" i="1"/>
  <c r="I175" i="1"/>
  <c r="P175" i="1" s="1"/>
  <c r="H175" i="1"/>
  <c r="H177" i="1" s="1"/>
  <c r="O173" i="1"/>
  <c r="N173" i="1"/>
  <c r="N174" i="1" s="1"/>
  <c r="M173" i="1"/>
  <c r="M174" i="1" s="1"/>
  <c r="L173" i="1"/>
  <c r="K173" i="1"/>
  <c r="J173" i="1"/>
  <c r="I173" i="1"/>
  <c r="H173" i="1"/>
  <c r="O172" i="1"/>
  <c r="O174" i="1" s="1"/>
  <c r="L172" i="1"/>
  <c r="K172" i="1"/>
  <c r="K174" i="1" s="1"/>
  <c r="J172" i="1"/>
  <c r="I172" i="1"/>
  <c r="H172" i="1"/>
  <c r="O170" i="1"/>
  <c r="O171" i="1" s="1"/>
  <c r="N170" i="1"/>
  <c r="N171" i="1" s="1"/>
  <c r="M170" i="1"/>
  <c r="M171" i="1" s="1"/>
  <c r="L170" i="1"/>
  <c r="K170" i="1"/>
  <c r="K171" i="1" s="1"/>
  <c r="J170" i="1"/>
  <c r="I170" i="1"/>
  <c r="H170" i="1"/>
  <c r="L169" i="1"/>
  <c r="K169" i="1"/>
  <c r="J169" i="1"/>
  <c r="I169" i="1"/>
  <c r="I171" i="1" s="1"/>
  <c r="H169" i="1"/>
  <c r="O168" i="1"/>
  <c r="J168" i="1"/>
  <c r="N167" i="1"/>
  <c r="N168" i="1" s="1"/>
  <c r="M167" i="1"/>
  <c r="M168" i="1" s="1"/>
  <c r="L167" i="1"/>
  <c r="L168" i="1" s="1"/>
  <c r="K167" i="1"/>
  <c r="K168" i="1" s="1"/>
  <c r="J167" i="1"/>
  <c r="I167" i="1"/>
  <c r="I168" i="1" s="1"/>
  <c r="H167" i="1"/>
  <c r="H168" i="1" s="1"/>
  <c r="P166" i="1"/>
  <c r="M165" i="1"/>
  <c r="K165" i="1"/>
  <c r="H165" i="1"/>
  <c r="O164" i="1"/>
  <c r="O165" i="1" s="1"/>
  <c r="N164" i="1"/>
  <c r="N165" i="1" s="1"/>
  <c r="M164" i="1"/>
  <c r="L164" i="1"/>
  <c r="L165" i="1" s="1"/>
  <c r="K164" i="1"/>
  <c r="J164" i="1"/>
  <c r="J165" i="1" s="1"/>
  <c r="I164" i="1"/>
  <c r="I165" i="1" s="1"/>
  <c r="H164" i="1"/>
  <c r="P163" i="1"/>
  <c r="O163" i="1"/>
  <c r="J162" i="1"/>
  <c r="O161" i="1"/>
  <c r="N161" i="1"/>
  <c r="N162" i="1" s="1"/>
  <c r="M161" i="1"/>
  <c r="M162" i="1" s="1"/>
  <c r="L161" i="1"/>
  <c r="L162" i="1" s="1"/>
  <c r="K161" i="1"/>
  <c r="K162" i="1" s="1"/>
  <c r="J161" i="1"/>
  <c r="I161" i="1"/>
  <c r="I162" i="1" s="1"/>
  <c r="H161" i="1"/>
  <c r="H162" i="1" s="1"/>
  <c r="O160" i="1"/>
  <c r="O162" i="1" s="1"/>
  <c r="O159" i="1"/>
  <c r="N159" i="1"/>
  <c r="M159" i="1"/>
  <c r="K159" i="1"/>
  <c r="J159" i="1"/>
  <c r="I159" i="1"/>
  <c r="H159" i="1"/>
  <c r="L158" i="1"/>
  <c r="L159" i="1" s="1"/>
  <c r="K158" i="1"/>
  <c r="J158" i="1"/>
  <c r="I158" i="1"/>
  <c r="H158" i="1"/>
  <c r="P157" i="1"/>
  <c r="H156" i="1"/>
  <c r="O155" i="1"/>
  <c r="N155" i="1"/>
  <c r="N156" i="1" s="1"/>
  <c r="M155" i="1"/>
  <c r="M156" i="1" s="1"/>
  <c r="L155" i="1"/>
  <c r="L156" i="1" s="1"/>
  <c r="K155" i="1"/>
  <c r="K156" i="1" s="1"/>
  <c r="J155" i="1"/>
  <c r="J156" i="1" s="1"/>
  <c r="I155" i="1"/>
  <c r="I156" i="1" s="1"/>
  <c r="H155" i="1"/>
  <c r="O154" i="1"/>
  <c r="O156" i="1" s="1"/>
  <c r="O153" i="1"/>
  <c r="N153" i="1"/>
  <c r="M153" i="1"/>
  <c r="L152" i="1"/>
  <c r="K152" i="1"/>
  <c r="K153" i="1" s="1"/>
  <c r="J152" i="1"/>
  <c r="J153" i="1" s="1"/>
  <c r="I152" i="1"/>
  <c r="H152" i="1"/>
  <c r="H153" i="1" s="1"/>
  <c r="L151" i="1"/>
  <c r="P151" i="1" s="1"/>
  <c r="M150" i="1"/>
  <c r="L150" i="1"/>
  <c r="J150" i="1"/>
  <c r="O149" i="1"/>
  <c r="N149" i="1"/>
  <c r="N150" i="1" s="1"/>
  <c r="M149" i="1"/>
  <c r="L149" i="1"/>
  <c r="K149" i="1"/>
  <c r="J149" i="1"/>
  <c r="I149" i="1"/>
  <c r="H149" i="1"/>
  <c r="H150" i="1" s="1"/>
  <c r="O148" i="1"/>
  <c r="O150" i="1" s="1"/>
  <c r="L148" i="1"/>
  <c r="K148" i="1"/>
  <c r="K150" i="1" s="1"/>
  <c r="J148" i="1"/>
  <c r="I148" i="1"/>
  <c r="H148" i="1"/>
  <c r="O147" i="1"/>
  <c r="N147" i="1"/>
  <c r="M147" i="1"/>
  <c r="L146" i="1"/>
  <c r="K146" i="1"/>
  <c r="J146" i="1"/>
  <c r="I146" i="1"/>
  <c r="H146" i="1"/>
  <c r="L145" i="1"/>
  <c r="K145" i="1"/>
  <c r="K147" i="1" s="1"/>
  <c r="J145" i="1"/>
  <c r="I145" i="1"/>
  <c r="H145" i="1"/>
  <c r="O143" i="1"/>
  <c r="N143" i="1"/>
  <c r="N144" i="1" s="1"/>
  <c r="M143" i="1"/>
  <c r="M144" i="1" s="1"/>
  <c r="L143" i="1"/>
  <c r="L144" i="1" s="1"/>
  <c r="K143" i="1"/>
  <c r="J143" i="1"/>
  <c r="I143" i="1"/>
  <c r="H143" i="1"/>
  <c r="O142" i="1"/>
  <c r="O144" i="1" s="1"/>
  <c r="L142" i="1"/>
  <c r="K142" i="1"/>
  <c r="K144" i="1" s="1"/>
  <c r="J142" i="1"/>
  <c r="I142" i="1"/>
  <c r="H142" i="1"/>
  <c r="O141" i="1"/>
  <c r="N141" i="1"/>
  <c r="M141" i="1"/>
  <c r="L141" i="1"/>
  <c r="K141" i="1"/>
  <c r="J141" i="1"/>
  <c r="I141" i="1"/>
  <c r="L140" i="1"/>
  <c r="K140" i="1"/>
  <c r="J140" i="1"/>
  <c r="I140" i="1"/>
  <c r="H140" i="1"/>
  <c r="H141" i="1" s="1"/>
  <c r="P139" i="1"/>
  <c r="J138" i="1"/>
  <c r="O137" i="1"/>
  <c r="N137" i="1"/>
  <c r="N138" i="1" s="1"/>
  <c r="M137" i="1"/>
  <c r="M138" i="1" s="1"/>
  <c r="L137" i="1"/>
  <c r="L138" i="1" s="1"/>
  <c r="K137" i="1"/>
  <c r="K138" i="1" s="1"/>
  <c r="J137" i="1"/>
  <c r="I137" i="1"/>
  <c r="I138" i="1" s="1"/>
  <c r="H137" i="1"/>
  <c r="H138" i="1" s="1"/>
  <c r="P136" i="1"/>
  <c r="O136" i="1"/>
  <c r="O135" i="1"/>
  <c r="N135" i="1"/>
  <c r="M135" i="1"/>
  <c r="L135" i="1"/>
  <c r="K134" i="1"/>
  <c r="K135" i="1" s="1"/>
  <c r="J134" i="1"/>
  <c r="J135" i="1" s="1"/>
  <c r="I134" i="1"/>
  <c r="I135" i="1" s="1"/>
  <c r="H134" i="1"/>
  <c r="P133" i="1"/>
  <c r="M132" i="1"/>
  <c r="O131" i="1"/>
  <c r="N131" i="1"/>
  <c r="N132" i="1" s="1"/>
  <c r="M131" i="1"/>
  <c r="L131" i="1"/>
  <c r="L132" i="1" s="1"/>
  <c r="K131" i="1"/>
  <c r="K132" i="1" s="1"/>
  <c r="J131" i="1"/>
  <c r="J132" i="1" s="1"/>
  <c r="I131" i="1"/>
  <c r="I132" i="1" s="1"/>
  <c r="H131" i="1"/>
  <c r="H132" i="1" s="1"/>
  <c r="O130" i="1"/>
  <c r="P130" i="1" s="1"/>
  <c r="O128" i="1"/>
  <c r="N128" i="1"/>
  <c r="N129" i="1" s="1"/>
  <c r="M128" i="1"/>
  <c r="M129" i="1" s="1"/>
  <c r="L128" i="1"/>
  <c r="L129" i="1" s="1"/>
  <c r="K128" i="1"/>
  <c r="K129" i="1" s="1"/>
  <c r="J128" i="1"/>
  <c r="J129" i="1" s="1"/>
  <c r="I128" i="1"/>
  <c r="I129" i="1" s="1"/>
  <c r="H128" i="1"/>
  <c r="H129" i="1" s="1"/>
  <c r="O127" i="1"/>
  <c r="O129" i="1" s="1"/>
  <c r="L126" i="1"/>
  <c r="J126" i="1"/>
  <c r="O125" i="1"/>
  <c r="O126" i="1" s="1"/>
  <c r="N125" i="1"/>
  <c r="N126" i="1" s="1"/>
  <c r="M125" i="1"/>
  <c r="M126" i="1" s="1"/>
  <c r="L125" i="1"/>
  <c r="K125" i="1"/>
  <c r="K126" i="1" s="1"/>
  <c r="J125" i="1"/>
  <c r="I125" i="1"/>
  <c r="I126" i="1" s="1"/>
  <c r="H125" i="1"/>
  <c r="H126" i="1" s="1"/>
  <c r="P124" i="1"/>
  <c r="O124" i="1"/>
  <c r="O123" i="1"/>
  <c r="N123" i="1"/>
  <c r="M123" i="1"/>
  <c r="L123" i="1"/>
  <c r="I123" i="1"/>
  <c r="H123" i="1"/>
  <c r="K122" i="1"/>
  <c r="K123" i="1" s="1"/>
  <c r="J122" i="1"/>
  <c r="I122" i="1"/>
  <c r="H122" i="1"/>
  <c r="P121" i="1"/>
  <c r="O120" i="1"/>
  <c r="N120" i="1"/>
  <c r="M120" i="1"/>
  <c r="J120" i="1"/>
  <c r="L119" i="1"/>
  <c r="L120" i="1" s="1"/>
  <c r="K119" i="1"/>
  <c r="J119" i="1"/>
  <c r="I119" i="1"/>
  <c r="I120" i="1" s="1"/>
  <c r="H119" i="1"/>
  <c r="H120" i="1" s="1"/>
  <c r="P118" i="1"/>
  <c r="O116" i="1"/>
  <c r="N116" i="1"/>
  <c r="N117" i="1" s="1"/>
  <c r="M116" i="1"/>
  <c r="M117" i="1" s="1"/>
  <c r="L116" i="1"/>
  <c r="L117" i="1" s="1"/>
  <c r="K116" i="1"/>
  <c r="K117" i="1" s="1"/>
  <c r="J116" i="1"/>
  <c r="J117" i="1" s="1"/>
  <c r="I116" i="1"/>
  <c r="I117" i="1" s="1"/>
  <c r="H116" i="1"/>
  <c r="H117" i="1" s="1"/>
  <c r="O115" i="1"/>
  <c r="P115" i="1" s="1"/>
  <c r="O114" i="1"/>
  <c r="N114" i="1"/>
  <c r="M114" i="1"/>
  <c r="L114" i="1"/>
  <c r="K114" i="1"/>
  <c r="J113" i="1"/>
  <c r="I113" i="1"/>
  <c r="I114" i="1" s="1"/>
  <c r="H113" i="1"/>
  <c r="J112" i="1"/>
  <c r="P112" i="1" s="1"/>
  <c r="O111" i="1"/>
  <c r="N111" i="1"/>
  <c r="M111" i="1"/>
  <c r="L111" i="1"/>
  <c r="K111" i="1"/>
  <c r="J111" i="1"/>
  <c r="I110" i="1"/>
  <c r="H110" i="1"/>
  <c r="H111" i="1" s="1"/>
  <c r="P109" i="1"/>
  <c r="O108" i="1"/>
  <c r="N108" i="1"/>
  <c r="M108" i="1"/>
  <c r="L108" i="1"/>
  <c r="K108" i="1"/>
  <c r="J108" i="1"/>
  <c r="I107" i="1"/>
  <c r="I108" i="1" s="1"/>
  <c r="H107" i="1"/>
  <c r="H108" i="1" s="1"/>
  <c r="P106" i="1"/>
  <c r="O105" i="1"/>
  <c r="N105" i="1"/>
  <c r="M105" i="1"/>
  <c r="L105" i="1"/>
  <c r="K105" i="1"/>
  <c r="J105" i="1"/>
  <c r="I104" i="1"/>
  <c r="I105" i="1" s="1"/>
  <c r="H104" i="1"/>
  <c r="H105" i="1" s="1"/>
  <c r="P105" i="1" s="1"/>
  <c r="P103" i="1"/>
  <c r="M102" i="1"/>
  <c r="O101" i="1"/>
  <c r="N101" i="1"/>
  <c r="N102" i="1" s="1"/>
  <c r="M101" i="1"/>
  <c r="L101" i="1"/>
  <c r="L102" i="1" s="1"/>
  <c r="K101" i="1"/>
  <c r="K102" i="1" s="1"/>
  <c r="J101" i="1"/>
  <c r="J102" i="1" s="1"/>
  <c r="I101" i="1"/>
  <c r="I102" i="1" s="1"/>
  <c r="H101" i="1"/>
  <c r="H102" i="1" s="1"/>
  <c r="O100" i="1"/>
  <c r="P100" i="1" s="1"/>
  <c r="M99" i="1"/>
  <c r="J99" i="1"/>
  <c r="O98" i="1"/>
  <c r="N98" i="1"/>
  <c r="N99" i="1" s="1"/>
  <c r="M98" i="1"/>
  <c r="L98" i="1"/>
  <c r="L99" i="1" s="1"/>
  <c r="K98" i="1"/>
  <c r="K99" i="1" s="1"/>
  <c r="J98" i="1"/>
  <c r="I98" i="1"/>
  <c r="I99" i="1" s="1"/>
  <c r="H98" i="1"/>
  <c r="P98" i="1" s="1"/>
  <c r="O97" i="1"/>
  <c r="H96" i="1"/>
  <c r="O95" i="1"/>
  <c r="N95" i="1"/>
  <c r="N96" i="1" s="1"/>
  <c r="M95" i="1"/>
  <c r="M96" i="1" s="1"/>
  <c r="L95" i="1"/>
  <c r="L96" i="1" s="1"/>
  <c r="K95" i="1"/>
  <c r="K96" i="1" s="1"/>
  <c r="J95" i="1"/>
  <c r="J96" i="1" s="1"/>
  <c r="I95" i="1"/>
  <c r="I96" i="1" s="1"/>
  <c r="H95" i="1"/>
  <c r="O94" i="1"/>
  <c r="P94" i="1" s="1"/>
  <c r="O93" i="1"/>
  <c r="L93" i="1"/>
  <c r="O92" i="1"/>
  <c r="N92" i="1"/>
  <c r="N93" i="1" s="1"/>
  <c r="M92" i="1"/>
  <c r="M93" i="1" s="1"/>
  <c r="L92" i="1"/>
  <c r="K92" i="1"/>
  <c r="K93" i="1" s="1"/>
  <c r="J92" i="1"/>
  <c r="J93" i="1" s="1"/>
  <c r="I92" i="1"/>
  <c r="I93" i="1" s="1"/>
  <c r="H92" i="1"/>
  <c r="H93" i="1" s="1"/>
  <c r="O91" i="1"/>
  <c r="P91" i="1" s="1"/>
  <c r="O90" i="1"/>
  <c r="N90" i="1"/>
  <c r="M90" i="1"/>
  <c r="I90" i="1"/>
  <c r="L89" i="1"/>
  <c r="L90" i="1" s="1"/>
  <c r="K89" i="1"/>
  <c r="K90" i="1" s="1"/>
  <c r="J89" i="1"/>
  <c r="J90" i="1" s="1"/>
  <c r="I89" i="1"/>
  <c r="H89" i="1"/>
  <c r="P88" i="1"/>
  <c r="O87" i="1"/>
  <c r="K87" i="1"/>
  <c r="N86" i="1"/>
  <c r="N87" i="1" s="1"/>
  <c r="M86" i="1"/>
  <c r="M87" i="1" s="1"/>
  <c r="L86" i="1"/>
  <c r="L87" i="1" s="1"/>
  <c r="K86" i="1"/>
  <c r="J86" i="1"/>
  <c r="J87" i="1" s="1"/>
  <c r="I86" i="1"/>
  <c r="I87" i="1" s="1"/>
  <c r="H86" i="1"/>
  <c r="H87" i="1" s="1"/>
  <c r="P85" i="1"/>
  <c r="O84" i="1"/>
  <c r="N84" i="1"/>
  <c r="M84" i="1"/>
  <c r="L84" i="1"/>
  <c r="K84" i="1"/>
  <c r="J84" i="1"/>
  <c r="I84" i="1"/>
  <c r="H83" i="1"/>
  <c r="P83" i="1" s="1"/>
  <c r="P82" i="1"/>
  <c r="O81" i="1"/>
  <c r="N81" i="1"/>
  <c r="M81" i="1"/>
  <c r="L81" i="1"/>
  <c r="K81" i="1"/>
  <c r="J81" i="1"/>
  <c r="I81" i="1"/>
  <c r="H80" i="1"/>
  <c r="H81" i="1" s="1"/>
  <c r="P79" i="1"/>
  <c r="O78" i="1"/>
  <c r="N78" i="1"/>
  <c r="M78" i="1"/>
  <c r="L78" i="1"/>
  <c r="K78" i="1"/>
  <c r="J78" i="1"/>
  <c r="I78" i="1"/>
  <c r="H77" i="1"/>
  <c r="H78" i="1" s="1"/>
  <c r="P78" i="1" s="1"/>
  <c r="P76" i="1"/>
  <c r="L75" i="1"/>
  <c r="J75" i="1"/>
  <c r="O74" i="1"/>
  <c r="N74" i="1"/>
  <c r="N75" i="1" s="1"/>
  <c r="M74" i="1"/>
  <c r="M75" i="1" s="1"/>
  <c r="L74" i="1"/>
  <c r="K74" i="1"/>
  <c r="K75" i="1" s="1"/>
  <c r="J74" i="1"/>
  <c r="I74" i="1"/>
  <c r="I75" i="1" s="1"/>
  <c r="H74" i="1"/>
  <c r="H75" i="1" s="1"/>
  <c r="O73" i="1"/>
  <c r="P73" i="1" s="1"/>
  <c r="O72" i="1"/>
  <c r="N72" i="1"/>
  <c r="M72" i="1"/>
  <c r="K72" i="1"/>
  <c r="I72" i="1"/>
  <c r="L71" i="1"/>
  <c r="P71" i="1" s="1"/>
  <c r="K71" i="1"/>
  <c r="J71" i="1"/>
  <c r="J72" i="1" s="1"/>
  <c r="I71" i="1"/>
  <c r="H71" i="1"/>
  <c r="H72" i="1" s="1"/>
  <c r="P70" i="1"/>
  <c r="N69" i="1"/>
  <c r="J69" i="1"/>
  <c r="O68" i="1"/>
  <c r="N68" i="1"/>
  <c r="M68" i="1"/>
  <c r="M69" i="1" s="1"/>
  <c r="L68" i="1"/>
  <c r="L69" i="1" s="1"/>
  <c r="K68" i="1"/>
  <c r="K69" i="1" s="1"/>
  <c r="J68" i="1"/>
  <c r="I68" i="1"/>
  <c r="I69" i="1" s="1"/>
  <c r="H68" i="1"/>
  <c r="H69" i="1" s="1"/>
  <c r="O67" i="1"/>
  <c r="O69" i="1" s="1"/>
  <c r="O66" i="1"/>
  <c r="N66" i="1"/>
  <c r="M66" i="1"/>
  <c r="K66" i="1"/>
  <c r="J66" i="1"/>
  <c r="I66" i="1"/>
  <c r="H66" i="1"/>
  <c r="P66" i="1" s="1"/>
  <c r="L65" i="1"/>
  <c r="L66" i="1" s="1"/>
  <c r="K65" i="1"/>
  <c r="J65" i="1"/>
  <c r="I65" i="1"/>
  <c r="H65" i="1"/>
  <c r="P64" i="1"/>
  <c r="O63" i="1"/>
  <c r="N63" i="1"/>
  <c r="M63" i="1"/>
  <c r="I63" i="1"/>
  <c r="H63" i="1"/>
  <c r="L62" i="1"/>
  <c r="L63" i="1" s="1"/>
  <c r="K62" i="1"/>
  <c r="K63" i="1" s="1"/>
  <c r="J62" i="1"/>
  <c r="J63" i="1" s="1"/>
  <c r="I62" i="1"/>
  <c r="H62" i="1"/>
  <c r="P61" i="1"/>
  <c r="O60" i="1"/>
  <c r="N60" i="1"/>
  <c r="M60" i="1"/>
  <c r="L60" i="1"/>
  <c r="K59" i="1"/>
  <c r="K60" i="1" s="1"/>
  <c r="J59" i="1"/>
  <c r="J60" i="1" s="1"/>
  <c r="I59" i="1"/>
  <c r="I60" i="1" s="1"/>
  <c r="H59" i="1"/>
  <c r="H60" i="1" s="1"/>
  <c r="P58" i="1"/>
  <c r="O57" i="1"/>
  <c r="N57" i="1"/>
  <c r="M57" i="1"/>
  <c r="L57" i="1"/>
  <c r="K57" i="1"/>
  <c r="J56" i="1"/>
  <c r="J57" i="1" s="1"/>
  <c r="I56" i="1"/>
  <c r="I57" i="1" s="1"/>
  <c r="H56" i="1"/>
  <c r="H57" i="1" s="1"/>
  <c r="P55" i="1"/>
  <c r="H54" i="1"/>
  <c r="O53" i="1"/>
  <c r="N53" i="1"/>
  <c r="N54" i="1" s="1"/>
  <c r="M53" i="1"/>
  <c r="M54" i="1" s="1"/>
  <c r="L53" i="1"/>
  <c r="L54" i="1" s="1"/>
  <c r="K53" i="1"/>
  <c r="K54" i="1" s="1"/>
  <c r="J53" i="1"/>
  <c r="J54" i="1" s="1"/>
  <c r="I53" i="1"/>
  <c r="I54" i="1" s="1"/>
  <c r="H53" i="1"/>
  <c r="O52" i="1"/>
  <c r="O54" i="1" s="1"/>
  <c r="O51" i="1"/>
  <c r="N51" i="1"/>
  <c r="M51" i="1"/>
  <c r="L51" i="1"/>
  <c r="H51" i="1"/>
  <c r="K50" i="1"/>
  <c r="K51" i="1" s="1"/>
  <c r="J50" i="1"/>
  <c r="I50" i="1"/>
  <c r="I51" i="1" s="1"/>
  <c r="H50" i="1"/>
  <c r="J49" i="1"/>
  <c r="L48" i="1"/>
  <c r="O47" i="1"/>
  <c r="N47" i="1"/>
  <c r="N48" i="1" s="1"/>
  <c r="M47" i="1"/>
  <c r="M48" i="1" s="1"/>
  <c r="L47" i="1"/>
  <c r="K47" i="1"/>
  <c r="K48" i="1" s="1"/>
  <c r="J47" i="1"/>
  <c r="J48" i="1" s="1"/>
  <c r="I47" i="1"/>
  <c r="I48" i="1" s="1"/>
  <c r="H47" i="1"/>
  <c r="O46" i="1"/>
  <c r="P46" i="1" s="1"/>
  <c r="O45" i="1"/>
  <c r="N45" i="1"/>
  <c r="M45" i="1"/>
  <c r="L45" i="1"/>
  <c r="K44" i="1"/>
  <c r="K45" i="1" s="1"/>
  <c r="J44" i="1"/>
  <c r="J45" i="1" s="1"/>
  <c r="I44" i="1"/>
  <c r="I45" i="1" s="1"/>
  <c r="H44" i="1"/>
  <c r="J43" i="1"/>
  <c r="I43" i="1"/>
  <c r="H43" i="1"/>
  <c r="P43" i="1" s="1"/>
  <c r="N42" i="1"/>
  <c r="M42" i="1"/>
  <c r="L42" i="1"/>
  <c r="O41" i="1"/>
  <c r="O42" i="1" s="1"/>
  <c r="N41" i="1"/>
  <c r="M41" i="1"/>
  <c r="L41" i="1"/>
  <c r="K41" i="1"/>
  <c r="K42" i="1" s="1"/>
  <c r="J41" i="1"/>
  <c r="J42" i="1" s="1"/>
  <c r="I41" i="1"/>
  <c r="I42" i="1" s="1"/>
  <c r="H41" i="1"/>
  <c r="H42" i="1" s="1"/>
  <c r="P40" i="1"/>
  <c r="O40" i="1"/>
  <c r="K39" i="1"/>
  <c r="J39" i="1"/>
  <c r="O38" i="1"/>
  <c r="N38" i="1"/>
  <c r="N39" i="1" s="1"/>
  <c r="M38" i="1"/>
  <c r="M39" i="1" s="1"/>
  <c r="L38" i="1"/>
  <c r="K38" i="1"/>
  <c r="J38" i="1"/>
  <c r="I38" i="1"/>
  <c r="I39" i="1" s="1"/>
  <c r="H38" i="1"/>
  <c r="H39" i="1" s="1"/>
  <c r="O37" i="1"/>
  <c r="O39" i="1" s="1"/>
  <c r="O36" i="1"/>
  <c r="N36" i="1"/>
  <c r="M36" i="1"/>
  <c r="L36" i="1"/>
  <c r="K36" i="1"/>
  <c r="I36" i="1"/>
  <c r="H36" i="1"/>
  <c r="J35" i="1"/>
  <c r="I35" i="1"/>
  <c r="H35" i="1"/>
  <c r="J34" i="1"/>
  <c r="P34" i="1" s="1"/>
  <c r="O33" i="1"/>
  <c r="N33" i="1"/>
  <c r="M33" i="1"/>
  <c r="L33" i="1"/>
  <c r="K33" i="1"/>
  <c r="H33" i="1"/>
  <c r="J32" i="1"/>
  <c r="J33" i="1" s="1"/>
  <c r="I32" i="1"/>
  <c r="P32" i="1" s="1"/>
  <c r="H32" i="1"/>
  <c r="P31" i="1"/>
  <c r="I31" i="1"/>
  <c r="I33" i="1" s="1"/>
  <c r="O30" i="1"/>
  <c r="N30" i="1"/>
  <c r="M30" i="1"/>
  <c r="L30" i="1"/>
  <c r="K30" i="1"/>
  <c r="J30" i="1"/>
  <c r="I29" i="1"/>
  <c r="I30" i="1" s="1"/>
  <c r="H29" i="1"/>
  <c r="H30" i="1" s="1"/>
  <c r="P30" i="1" s="1"/>
  <c r="P28" i="1"/>
  <c r="O27" i="1"/>
  <c r="N27" i="1"/>
  <c r="M27" i="1"/>
  <c r="L27" i="1"/>
  <c r="K27" i="1"/>
  <c r="J27" i="1"/>
  <c r="I26" i="1"/>
  <c r="I27" i="1" s="1"/>
  <c r="H26" i="1"/>
  <c r="H27" i="1" s="1"/>
  <c r="P25" i="1"/>
  <c r="O24" i="1"/>
  <c r="N24" i="1"/>
  <c r="M24" i="1"/>
  <c r="L24" i="1"/>
  <c r="K24" i="1"/>
  <c r="J24" i="1"/>
  <c r="I23" i="1"/>
  <c r="I24" i="1" s="1"/>
  <c r="H23" i="1"/>
  <c r="P22" i="1"/>
  <c r="O21" i="1"/>
  <c r="N21" i="1"/>
  <c r="M21" i="1"/>
  <c r="L21" i="1"/>
  <c r="K21" i="1"/>
  <c r="J21" i="1"/>
  <c r="I20" i="1"/>
  <c r="I21" i="1" s="1"/>
  <c r="H20" i="1"/>
  <c r="H21" i="1" s="1"/>
  <c r="P19" i="1"/>
  <c r="O18" i="1"/>
  <c r="N18" i="1"/>
  <c r="M18" i="1"/>
  <c r="L18" i="1"/>
  <c r="K18" i="1"/>
  <c r="J18" i="1"/>
  <c r="I17" i="1"/>
  <c r="I18" i="1" s="1"/>
  <c r="H17" i="1"/>
  <c r="P17" i="1" s="1"/>
  <c r="P16" i="1"/>
  <c r="O15" i="1"/>
  <c r="N15" i="1"/>
  <c r="M15" i="1"/>
  <c r="L15" i="1"/>
  <c r="K15" i="1"/>
  <c r="J15" i="1"/>
  <c r="H15" i="1"/>
  <c r="I14" i="1"/>
  <c r="H14" i="1"/>
  <c r="P13" i="1"/>
  <c r="A13" i="1"/>
  <c r="A16" i="1" s="1"/>
  <c r="A19" i="1" s="1"/>
  <c r="A22" i="1" s="1"/>
  <c r="A25" i="1" s="1"/>
  <c r="A28" i="1" s="1"/>
  <c r="A31" i="1" s="1"/>
  <c r="A34" i="1" s="1"/>
  <c r="A37" i="1" s="1"/>
  <c r="A40" i="1" s="1"/>
  <c r="A43" i="1" s="1"/>
  <c r="A46" i="1" s="1"/>
  <c r="A49" i="1" s="1"/>
  <c r="A52" i="1" s="1"/>
  <c r="A55" i="1" s="1"/>
  <c r="A58" i="1" s="1"/>
  <c r="A61" i="1" s="1"/>
  <c r="A64" i="1" s="1"/>
  <c r="A67" i="1" s="1"/>
  <c r="A70" i="1" s="1"/>
  <c r="A73" i="1" s="1"/>
  <c r="A76" i="1" s="1"/>
  <c r="A79" i="1" s="1"/>
  <c r="A82" i="1" s="1"/>
  <c r="A85" i="1" s="1"/>
  <c r="A88" i="1" s="1"/>
  <c r="A91" i="1" s="1"/>
  <c r="A94" i="1" s="1"/>
  <c r="A97" i="1" s="1"/>
  <c r="A100" i="1" s="1"/>
  <c r="A103" i="1" s="1"/>
  <c r="A106" i="1" s="1"/>
  <c r="A109" i="1" s="1"/>
  <c r="A112" i="1" s="1"/>
  <c r="A115" i="1" s="1"/>
  <c r="A118" i="1" s="1"/>
  <c r="A121" i="1" s="1"/>
  <c r="A124" i="1" s="1"/>
  <c r="A127" i="1" s="1"/>
  <c r="A130" i="1" s="1"/>
  <c r="A133" i="1" s="1"/>
  <c r="A136" i="1" s="1"/>
  <c r="A139" i="1" s="1"/>
  <c r="A142" i="1" s="1"/>
  <c r="A145" i="1" s="1"/>
  <c r="A148" i="1" s="1"/>
  <c r="A151" i="1" s="1"/>
  <c r="A154" i="1" s="1"/>
  <c r="A157" i="1" s="1"/>
  <c r="A160" i="1" s="1"/>
  <c r="A163" i="1" s="1"/>
  <c r="A166" i="1" s="1"/>
  <c r="A169" i="1" s="1"/>
  <c r="A172" i="1" s="1"/>
  <c r="A175" i="1" s="1"/>
  <c r="A178" i="1" s="1"/>
  <c r="A181" i="1" s="1"/>
  <c r="A184" i="1" s="1"/>
  <c r="A187" i="1" s="1"/>
  <c r="A190" i="1" s="1"/>
  <c r="A193" i="1" s="1"/>
  <c r="A196" i="1" s="1"/>
  <c r="A199" i="1" s="1"/>
  <c r="A202" i="1" s="1"/>
  <c r="A205" i="1" s="1"/>
  <c r="A208" i="1" s="1"/>
  <c r="A211" i="1" s="1"/>
  <c r="A214" i="1" s="1"/>
  <c r="A217" i="1" s="1"/>
  <c r="A220" i="1" s="1"/>
  <c r="A223" i="1" s="1"/>
  <c r="A226" i="1" s="1"/>
  <c r="A229" i="1" s="1"/>
  <c r="A232" i="1" s="1"/>
  <c r="A235" i="1" s="1"/>
  <c r="A238" i="1" s="1"/>
  <c r="A241" i="1" s="1"/>
  <c r="A244" i="1" s="1"/>
  <c r="A247" i="1" s="1"/>
  <c r="A250" i="1" s="1"/>
  <c r="A253" i="1" s="1"/>
  <c r="A256" i="1" s="1"/>
  <c r="A259" i="1" s="1"/>
  <c r="A262" i="1" s="1"/>
  <c r="A265" i="1" s="1"/>
  <c r="A268" i="1" s="1"/>
  <c r="A271" i="1" s="1"/>
  <c r="A274" i="1" s="1"/>
  <c r="A277" i="1" s="1"/>
  <c r="A280" i="1" s="1"/>
  <c r="A283" i="1" s="1"/>
  <c r="A286" i="1" s="1"/>
  <c r="A289" i="1" s="1"/>
  <c r="A292" i="1" s="1"/>
  <c r="A295" i="1" s="1"/>
  <c r="A298" i="1" s="1"/>
  <c r="A301" i="1" s="1"/>
  <c r="A304" i="1" s="1"/>
  <c r="A307" i="1" s="1"/>
  <c r="A310" i="1" s="1"/>
  <c r="A313" i="1" s="1"/>
  <c r="A316" i="1" s="1"/>
  <c r="A319" i="1" s="1"/>
  <c r="A322" i="1" s="1"/>
  <c r="A325" i="1" s="1"/>
  <c r="A328" i="1" s="1"/>
  <c r="A331" i="1" s="1"/>
  <c r="A334" i="1" s="1"/>
  <c r="A337" i="1" s="1"/>
  <c r="A340" i="1" s="1"/>
  <c r="A343" i="1" s="1"/>
  <c r="A346" i="1" s="1"/>
  <c r="A349" i="1" s="1"/>
  <c r="A352" i="1" s="1"/>
  <c r="A355" i="1" s="1"/>
  <c r="A358" i="1" s="1"/>
  <c r="A361" i="1" s="1"/>
  <c r="A364" i="1" s="1"/>
  <c r="A367" i="1" s="1"/>
  <c r="A370" i="1" s="1"/>
  <c r="A373" i="1" s="1"/>
  <c r="A376" i="1" s="1"/>
  <c r="A379" i="1" s="1"/>
  <c r="A382" i="1" s="1"/>
  <c r="A385" i="1" s="1"/>
  <c r="A388" i="1" s="1"/>
  <c r="A391" i="1" s="1"/>
  <c r="A394" i="1" s="1"/>
  <c r="A397" i="1" s="1"/>
  <c r="A400" i="1" s="1"/>
  <c r="A403" i="1" s="1"/>
  <c r="A406" i="1" s="1"/>
  <c r="A409" i="1" s="1"/>
  <c r="A412" i="1" s="1"/>
  <c r="A415" i="1" s="1"/>
  <c r="A418" i="1" s="1"/>
  <c r="A421" i="1" s="1"/>
  <c r="A424" i="1" s="1"/>
  <c r="A427" i="1" s="1"/>
  <c r="A430" i="1" s="1"/>
  <c r="A433" i="1" s="1"/>
  <c r="A436" i="1" s="1"/>
  <c r="A439" i="1" s="1"/>
  <c r="A442" i="1" s="1"/>
  <c r="A445" i="1" s="1"/>
  <c r="A448" i="1" s="1"/>
  <c r="A451" i="1" s="1"/>
  <c r="A454" i="1" s="1"/>
  <c r="A457" i="1" s="1"/>
  <c r="A460" i="1" s="1"/>
  <c r="A463" i="1" s="1"/>
  <c r="A466" i="1" s="1"/>
  <c r="A469" i="1" s="1"/>
  <c r="A472" i="1" s="1"/>
  <c r="A475" i="1" s="1"/>
  <c r="A478" i="1" s="1"/>
  <c r="A481" i="1" s="1"/>
  <c r="A484" i="1" s="1"/>
  <c r="A487" i="1" s="1"/>
  <c r="A490" i="1" s="1"/>
  <c r="A493" i="1" s="1"/>
  <c r="A496" i="1" s="1"/>
  <c r="A499" i="1" s="1"/>
  <c r="A502" i="1" s="1"/>
  <c r="A505" i="1" s="1"/>
  <c r="A508" i="1" s="1"/>
  <c r="A511" i="1" s="1"/>
  <c r="A514" i="1" s="1"/>
  <c r="A517" i="1" s="1"/>
  <c r="A520" i="1" s="1"/>
  <c r="A523" i="1" s="1"/>
  <c r="A526" i="1" s="1"/>
  <c r="A529" i="1" s="1"/>
  <c r="A532" i="1" s="1"/>
  <c r="A535" i="1" s="1"/>
  <c r="A538" i="1" s="1"/>
  <c r="A541" i="1" s="1"/>
  <c r="A544" i="1" s="1"/>
  <c r="A547" i="1" s="1"/>
  <c r="A550" i="1" s="1"/>
  <c r="A553" i="1" s="1"/>
  <c r="A556" i="1" s="1"/>
  <c r="A559" i="1" s="1"/>
  <c r="A562" i="1" s="1"/>
  <c r="A565" i="1" s="1"/>
  <c r="A568" i="1" s="1"/>
  <c r="N12" i="1"/>
  <c r="M12" i="1"/>
  <c r="L12" i="1"/>
  <c r="K12" i="1"/>
  <c r="J12" i="1"/>
  <c r="I12" i="1"/>
  <c r="H12" i="1"/>
  <c r="P11" i="1"/>
  <c r="O10" i="1"/>
  <c r="P10" i="1" s="1"/>
  <c r="P600" i="1" l="1"/>
  <c r="P33" i="1"/>
  <c r="P519" i="1"/>
  <c r="P425" i="1"/>
  <c r="P481" i="1"/>
  <c r="P492" i="1"/>
  <c r="P493" i="1"/>
  <c r="P511" i="1"/>
  <c r="P527" i="1"/>
  <c r="P538" i="1"/>
  <c r="P556" i="1"/>
  <c r="P47" i="1"/>
  <c r="P52" i="1"/>
  <c r="P63" i="1"/>
  <c r="P160" i="1"/>
  <c r="I177" i="1"/>
  <c r="P217" i="1"/>
  <c r="P222" i="1"/>
  <c r="O264" i="1"/>
  <c r="P274" i="1"/>
  <c r="P282" i="1"/>
  <c r="P312" i="1"/>
  <c r="P333" i="1"/>
  <c r="O363" i="1"/>
  <c r="P373" i="1"/>
  <c r="O384" i="1"/>
  <c r="P415" i="1"/>
  <c r="P437" i="1"/>
  <c r="P446" i="1"/>
  <c r="P522" i="1"/>
  <c r="P528" i="1"/>
  <c r="O549" i="1"/>
  <c r="N594" i="1"/>
  <c r="P598" i="1"/>
  <c r="P462" i="1"/>
  <c r="P155" i="1"/>
  <c r="P351" i="1"/>
  <c r="P447" i="1"/>
  <c r="P69" i="1"/>
  <c r="O75" i="1"/>
  <c r="P295" i="1"/>
  <c r="P483" i="1"/>
  <c r="H18" i="1"/>
  <c r="P18" i="1" s="1"/>
  <c r="P29" i="1"/>
  <c r="P65" i="1"/>
  <c r="L72" i="1"/>
  <c r="P104" i="1"/>
  <c r="O117" i="1"/>
  <c r="P127" i="1"/>
  <c r="P146" i="1"/>
  <c r="I150" i="1"/>
  <c r="P150" i="1" s="1"/>
  <c r="L171" i="1"/>
  <c r="I174" i="1"/>
  <c r="P276" i="1"/>
  <c r="O288" i="1"/>
  <c r="P325" i="1"/>
  <c r="P346" i="1"/>
  <c r="P364" i="1"/>
  <c r="P375" i="1"/>
  <c r="P417" i="1"/>
  <c r="P430" i="1"/>
  <c r="P486" i="1"/>
  <c r="O516" i="1"/>
  <c r="P540" i="1"/>
  <c r="N609" i="1"/>
  <c r="P604" i="1"/>
  <c r="P311" i="1"/>
  <c r="P218" i="1"/>
  <c r="P384" i="1"/>
  <c r="P438" i="1"/>
  <c r="P59" i="1"/>
  <c r="P170" i="1"/>
  <c r="P172" i="1"/>
  <c r="I183" i="1"/>
  <c r="P288" i="1"/>
  <c r="O300" i="1"/>
  <c r="P300" i="1" s="1"/>
  <c r="P309" i="1"/>
  <c r="P376" i="1"/>
  <c r="P408" i="1"/>
  <c r="P460" i="1"/>
  <c r="P517" i="1"/>
  <c r="P567" i="1"/>
  <c r="P354" i="1"/>
  <c r="P37" i="1"/>
  <c r="O48" i="1"/>
  <c r="P159" i="1"/>
  <c r="P303" i="1"/>
  <c r="P96" i="1"/>
  <c r="P21" i="1"/>
  <c r="P35" i="1"/>
  <c r="L578" i="1"/>
  <c r="L585" i="1" s="1"/>
  <c r="P44" i="1"/>
  <c r="P77" i="1"/>
  <c r="O96" i="1"/>
  <c r="I144" i="1"/>
  <c r="P168" i="1"/>
  <c r="O198" i="1"/>
  <c r="J213" i="1"/>
  <c r="P257" i="1"/>
  <c r="O270" i="1"/>
  <c r="P270" i="1" s="1"/>
  <c r="P327" i="1"/>
  <c r="P348" i="1"/>
  <c r="P409" i="1"/>
  <c r="P450" i="1"/>
  <c r="P477" i="1"/>
  <c r="O492" i="1"/>
  <c r="P507" i="1"/>
  <c r="O546" i="1"/>
  <c r="P546" i="1" s="1"/>
  <c r="O607" i="1"/>
  <c r="H99" i="1"/>
  <c r="P561" i="1"/>
  <c r="P294" i="1"/>
  <c r="P95" i="1"/>
  <c r="O459" i="1"/>
  <c r="P459" i="1" s="1"/>
  <c r="P495" i="1"/>
  <c r="P513" i="1"/>
  <c r="P599" i="1"/>
  <c r="I578" i="1"/>
  <c r="I585" i="1" s="1"/>
  <c r="P23" i="1"/>
  <c r="P50" i="1"/>
  <c r="O138" i="1"/>
  <c r="P138" i="1" s="1"/>
  <c r="P140" i="1"/>
  <c r="P142" i="1"/>
  <c r="L147" i="1"/>
  <c r="J171" i="1"/>
  <c r="L174" i="1"/>
  <c r="P221" i="1"/>
  <c r="O261" i="1"/>
  <c r="P318" i="1"/>
  <c r="P342" i="1"/>
  <c r="P378" i="1"/>
  <c r="O435" i="1"/>
  <c r="P435" i="1" s="1"/>
  <c r="P490" i="1"/>
  <c r="P534" i="1"/>
  <c r="P544" i="1"/>
  <c r="O555" i="1"/>
  <c r="P606" i="1"/>
  <c r="P576" i="1"/>
  <c r="P75" i="1"/>
  <c r="P255" i="1"/>
  <c r="P27" i="1"/>
  <c r="P207" i="1"/>
  <c r="P54" i="1"/>
  <c r="P42" i="1"/>
  <c r="O99" i="1"/>
  <c r="P99" i="1" s="1"/>
  <c r="P97" i="1"/>
  <c r="O192" i="1"/>
  <c r="P192" i="1" s="1"/>
  <c r="P190" i="1"/>
  <c r="P219" i="1"/>
  <c r="P14" i="1"/>
  <c r="P41" i="1"/>
  <c r="K258" i="1"/>
  <c r="P256" i="1"/>
  <c r="N579" i="1"/>
  <c r="I577" i="1"/>
  <c r="I584" i="1" s="1"/>
  <c r="J577" i="1"/>
  <c r="J584" i="1" s="1"/>
  <c r="J36" i="1"/>
  <c r="P36" i="1" s="1"/>
  <c r="N578" i="1"/>
  <c r="N585" i="1" s="1"/>
  <c r="H48" i="1"/>
  <c r="P56" i="1"/>
  <c r="P62" i="1"/>
  <c r="P67" i="1"/>
  <c r="P108" i="1"/>
  <c r="H135" i="1"/>
  <c r="P135" i="1" s="1"/>
  <c r="P134" i="1"/>
  <c r="P141" i="1"/>
  <c r="J144" i="1"/>
  <c r="H147" i="1"/>
  <c r="P145" i="1"/>
  <c r="J174" i="1"/>
  <c r="P177" i="1"/>
  <c r="P200" i="1"/>
  <c r="P213" i="1"/>
  <c r="K237" i="1"/>
  <c r="P237" i="1" s="1"/>
  <c r="P235" i="1"/>
  <c r="P244" i="1"/>
  <c r="O423" i="1"/>
  <c r="P421" i="1"/>
  <c r="M597" i="1"/>
  <c r="M608" i="1"/>
  <c r="M579" i="1"/>
  <c r="P87" i="1"/>
  <c r="I147" i="1"/>
  <c r="P117" i="1"/>
  <c r="P167" i="1"/>
  <c r="P211" i="1"/>
  <c r="P240" i="1"/>
  <c r="P74" i="1"/>
  <c r="P183" i="1"/>
  <c r="P12" i="1"/>
  <c r="H24" i="1"/>
  <c r="P24" i="1" s="1"/>
  <c r="P38" i="1"/>
  <c r="J51" i="1"/>
  <c r="P51" i="1" s="1"/>
  <c r="P60" i="1"/>
  <c r="P93" i="1"/>
  <c r="P92" i="1"/>
  <c r="J147" i="1"/>
  <c r="P164" i="1"/>
  <c r="P165" i="1"/>
  <c r="P189" i="1"/>
  <c r="P188" i="1"/>
  <c r="H228" i="1"/>
  <c r="P227" i="1"/>
  <c r="P243" i="1"/>
  <c r="P264" i="1"/>
  <c r="P273" i="1"/>
  <c r="P291" i="1"/>
  <c r="O577" i="1"/>
  <c r="O584" i="1" s="1"/>
  <c r="L39" i="1"/>
  <c r="H84" i="1"/>
  <c r="P84" i="1" s="1"/>
  <c r="P116" i="1"/>
  <c r="P191" i="1"/>
  <c r="I15" i="1"/>
  <c r="P15" i="1" s="1"/>
  <c r="O578" i="1"/>
  <c r="O585" i="1" s="1"/>
  <c r="P20" i="1"/>
  <c r="H45" i="1"/>
  <c r="P45" i="1" s="1"/>
  <c r="P49" i="1"/>
  <c r="O102" i="1"/>
  <c r="P102" i="1" s="1"/>
  <c r="J114" i="1"/>
  <c r="P131" i="1"/>
  <c r="P137" i="1"/>
  <c r="P158" i="1"/>
  <c r="P182" i="1"/>
  <c r="P197" i="1"/>
  <c r="P198" i="1"/>
  <c r="P216" i="1"/>
  <c r="P251" i="1"/>
  <c r="J252" i="1"/>
  <c r="O255" i="1"/>
  <c r="P253" i="1"/>
  <c r="O537" i="1"/>
  <c r="P536" i="1"/>
  <c r="P156" i="1"/>
  <c r="I180" i="1"/>
  <c r="P178" i="1"/>
  <c r="H577" i="1"/>
  <c r="M578" i="1"/>
  <c r="M585" i="1" s="1"/>
  <c r="O201" i="1"/>
  <c r="P201" i="1" s="1"/>
  <c r="P199" i="1"/>
  <c r="P225" i="1"/>
  <c r="O12" i="1"/>
  <c r="P68" i="1"/>
  <c r="J578" i="1"/>
  <c r="J585" i="1" s="1"/>
  <c r="P53" i="1"/>
  <c r="I111" i="1"/>
  <c r="P111" i="1" s="1"/>
  <c r="P110" i="1"/>
  <c r="P143" i="1"/>
  <c r="H144" i="1"/>
  <c r="P149" i="1"/>
  <c r="I153" i="1"/>
  <c r="P152" i="1"/>
  <c r="P162" i="1"/>
  <c r="P173" i="1"/>
  <c r="H174" i="1"/>
  <c r="P185" i="1"/>
  <c r="P186" i="1"/>
  <c r="P206" i="1"/>
  <c r="J297" i="1"/>
  <c r="P315" i="1"/>
  <c r="O471" i="1"/>
  <c r="P471" i="1" s="1"/>
  <c r="P470" i="1"/>
  <c r="P26" i="1"/>
  <c r="P179" i="1"/>
  <c r="H180" i="1"/>
  <c r="P203" i="1"/>
  <c r="P72" i="1"/>
  <c r="K120" i="1"/>
  <c r="P120" i="1" s="1"/>
  <c r="P119" i="1"/>
  <c r="H578" i="1"/>
  <c r="K578" i="1"/>
  <c r="K585" i="1" s="1"/>
  <c r="P57" i="1"/>
  <c r="P81" i="1"/>
  <c r="H90" i="1"/>
  <c r="P90" i="1" s="1"/>
  <c r="P89" i="1"/>
  <c r="P101" i="1"/>
  <c r="H114" i="1"/>
  <c r="P114" i="1" s="1"/>
  <c r="P113" i="1"/>
  <c r="J123" i="1"/>
  <c r="P123" i="1" s="1"/>
  <c r="P122" i="1"/>
  <c r="P128" i="1"/>
  <c r="P129" i="1"/>
  <c r="P258" i="1"/>
  <c r="P297" i="1"/>
  <c r="O339" i="1"/>
  <c r="P339" i="1" s="1"/>
  <c r="P337" i="1"/>
  <c r="P396" i="1"/>
  <c r="P426" i="1"/>
  <c r="P454" i="1"/>
  <c r="P515" i="1"/>
  <c r="H171" i="1"/>
  <c r="P171" i="1" s="1"/>
  <c r="P246" i="1"/>
  <c r="P245" i="1"/>
  <c r="P321" i="1"/>
  <c r="P366" i="1"/>
  <c r="P394" i="1"/>
  <c r="P508" i="1"/>
  <c r="O510" i="1"/>
  <c r="P510" i="1" s="1"/>
  <c r="P516" i="1"/>
  <c r="P390" i="1"/>
  <c r="P456" i="1"/>
  <c r="O132" i="1"/>
  <c r="P132" i="1" s="1"/>
  <c r="K577" i="1"/>
  <c r="K584" i="1" s="1"/>
  <c r="P161" i="1"/>
  <c r="P239" i="1"/>
  <c r="P249" i="1"/>
  <c r="P254" i="1"/>
  <c r="O267" i="1"/>
  <c r="P267" i="1" s="1"/>
  <c r="P265" i="1"/>
  <c r="P322" i="1"/>
  <c r="P330" i="1"/>
  <c r="O345" i="1"/>
  <c r="P343" i="1"/>
  <c r="P369" i="1"/>
  <c r="P412" i="1"/>
  <c r="P423" i="1"/>
  <c r="P478" i="1"/>
  <c r="O480" i="1"/>
  <c r="P487" i="1"/>
  <c r="O489" i="1"/>
  <c r="P504" i="1"/>
  <c r="P553" i="1"/>
  <c r="O570" i="1"/>
  <c r="P570" i="1" s="1"/>
  <c r="P569" i="1"/>
  <c r="P80" i="1"/>
  <c r="P86" i="1"/>
  <c r="L577" i="1"/>
  <c r="L584" i="1" s="1"/>
  <c r="P148" i="1"/>
  <c r="L153" i="1"/>
  <c r="O195" i="1"/>
  <c r="P195" i="1" s="1"/>
  <c r="O210" i="1"/>
  <c r="P210" i="1" s="1"/>
  <c r="P212" i="1"/>
  <c r="P215" i="1"/>
  <c r="K252" i="1"/>
  <c r="P272" i="1"/>
  <c r="O285" i="1"/>
  <c r="P283" i="1"/>
  <c r="P341" i="1"/>
  <c r="P385" i="1"/>
  <c r="P393" i="1"/>
  <c r="P405" i="1"/>
  <c r="P473" i="1"/>
  <c r="P548" i="1"/>
  <c r="P602" i="1"/>
  <c r="M603" i="1"/>
  <c r="P107" i="1"/>
  <c r="P194" i="1"/>
  <c r="P209" i="1"/>
  <c r="P224" i="1"/>
  <c r="P231" i="1"/>
  <c r="P242" i="1"/>
  <c r="P324" i="1"/>
  <c r="P345" i="1"/>
  <c r="P388" i="1"/>
  <c r="K390" i="1"/>
  <c r="P414" i="1"/>
  <c r="P474" i="1"/>
  <c r="P549" i="1"/>
  <c r="P126" i="1"/>
  <c r="P125" i="1"/>
  <c r="P154" i="1"/>
  <c r="P169" i="1"/>
  <c r="O204" i="1"/>
  <c r="P204" i="1" s="1"/>
  <c r="K228" i="1"/>
  <c r="P226" i="1"/>
  <c r="P261" i="1"/>
  <c r="P285" i="1"/>
  <c r="P387" i="1"/>
  <c r="P400" i="1"/>
  <c r="H402" i="1"/>
  <c r="P402" i="1" s="1"/>
  <c r="P594" i="1"/>
  <c r="L597" i="1"/>
  <c r="L609" i="1" s="1"/>
  <c r="P444" i="1"/>
  <c r="P552" i="1"/>
  <c r="P555" i="1"/>
  <c r="P432" i="1"/>
  <c r="P463" i="1"/>
  <c r="O465" i="1"/>
  <c r="P465" i="1" s="1"/>
  <c r="P537" i="1"/>
  <c r="P551" i="1"/>
  <c r="I608" i="1"/>
  <c r="O608" i="1"/>
  <c r="P363" i="1"/>
  <c r="P451" i="1"/>
  <c r="O453" i="1"/>
  <c r="P453" i="1" s="1"/>
  <c r="P480" i="1"/>
  <c r="P489" i="1"/>
  <c r="P543" i="1"/>
  <c r="P593" i="1"/>
  <c r="P596" i="1"/>
  <c r="P236" i="1"/>
  <c r="P279" i="1"/>
  <c r="O306" i="1"/>
  <c r="P306" i="1" s="1"/>
  <c r="P304" i="1"/>
  <c r="O381" i="1"/>
  <c r="P381" i="1" s="1"/>
  <c r="P379" i="1"/>
  <c r="O405" i="1"/>
  <c r="P403" i="1"/>
  <c r="P411" i="1"/>
  <c r="P434" i="1"/>
  <c r="P439" i="1"/>
  <c r="O441" i="1"/>
  <c r="P441" i="1" s="1"/>
  <c r="O468" i="1"/>
  <c r="P468" i="1" s="1"/>
  <c r="P498" i="1"/>
  <c r="P525" i="1"/>
  <c r="P558" i="1"/>
  <c r="P573" i="1"/>
  <c r="K609" i="1"/>
  <c r="O336" i="1"/>
  <c r="P336" i="1" s="1"/>
  <c r="O357" i="1"/>
  <c r="P357" i="1" s="1"/>
  <c r="O372" i="1"/>
  <c r="P372" i="1" s="1"/>
  <c r="P391" i="1"/>
  <c r="O399" i="1"/>
  <c r="P399" i="1" s="1"/>
  <c r="O420" i="1"/>
  <c r="P420" i="1" s="1"/>
  <c r="O429" i="1"/>
  <c r="P429" i="1" s="1"/>
  <c r="O531" i="1"/>
  <c r="P531" i="1" s="1"/>
  <c r="O543" i="1"/>
  <c r="O564" i="1"/>
  <c r="P564" i="1" s="1"/>
  <c r="H591" i="1"/>
  <c r="K608" i="1"/>
  <c r="O498" i="1"/>
  <c r="I591" i="1"/>
  <c r="I609" i="1" s="1"/>
  <c r="O603" i="1"/>
  <c r="O609" i="1" s="1"/>
  <c r="H608" i="1"/>
  <c r="J594" i="1"/>
  <c r="J609" i="1" s="1"/>
  <c r="P595" i="1"/>
  <c r="P607" i="1" s="1"/>
  <c r="K579" i="1" l="1"/>
  <c r="P153" i="1"/>
  <c r="I579" i="1"/>
  <c r="I612" i="1" s="1"/>
  <c r="I614" i="1" s="1"/>
  <c r="P577" i="1"/>
  <c r="P584" i="1" s="1"/>
  <c r="L579" i="1"/>
  <c r="L586" i="1" s="1"/>
  <c r="L617" i="1" s="1"/>
  <c r="P608" i="1"/>
  <c r="P578" i="1"/>
  <c r="P585" i="1" s="1"/>
  <c r="P48" i="1"/>
  <c r="P252" i="1"/>
  <c r="K586" i="1"/>
  <c r="K617" i="1" s="1"/>
  <c r="K612" i="1"/>
  <c r="K614" i="1" s="1"/>
  <c r="P180" i="1"/>
  <c r="H581" i="1"/>
  <c r="H584" i="1"/>
  <c r="P228" i="1"/>
  <c r="P39" i="1"/>
  <c r="M612" i="1"/>
  <c r="M614" i="1" s="1"/>
  <c r="M586" i="1"/>
  <c r="P597" i="1"/>
  <c r="P603" i="1"/>
  <c r="J579" i="1"/>
  <c r="M609" i="1"/>
  <c r="H609" i="1"/>
  <c r="P591" i="1"/>
  <c r="P144" i="1"/>
  <c r="O579" i="1"/>
  <c r="N612" i="1"/>
  <c r="N614" i="1" s="1"/>
  <c r="N586" i="1"/>
  <c r="H585" i="1"/>
  <c r="H583" i="1"/>
  <c r="P174" i="1"/>
  <c r="H579" i="1"/>
  <c r="P147" i="1"/>
  <c r="I586" i="1" l="1"/>
  <c r="I617" i="1" s="1"/>
  <c r="P579" i="1"/>
  <c r="P586" i="1" s="1"/>
  <c r="L612" i="1"/>
  <c r="L614" i="1" s="1"/>
  <c r="K618" i="1"/>
  <c r="O612" i="1"/>
  <c r="O586" i="1"/>
  <c r="I618" i="1"/>
  <c r="J586" i="1"/>
  <c r="J617" i="1" s="1"/>
  <c r="J612" i="1"/>
  <c r="J614" i="1" s="1"/>
  <c r="P609" i="1"/>
  <c r="H612" i="1"/>
  <c r="H614" i="1" s="1"/>
  <c r="H586" i="1"/>
  <c r="H617" i="1" s="1"/>
  <c r="P612" i="1" l="1"/>
  <c r="J618" i="1"/>
  <c r="H618" i="1"/>
</calcChain>
</file>

<file path=xl/comments1.xml><?xml version="1.0" encoding="utf-8"?>
<comments xmlns="http://schemas.openxmlformats.org/spreadsheetml/2006/main">
  <authors>
    <author>Inta Stefenberga</author>
  </authors>
  <commentList>
    <comment ref="P529" authorId="0">
      <text>
        <r>
          <rPr>
            <b/>
            <sz val="9"/>
            <color indexed="81"/>
            <rFont val="Tahoma"/>
            <family val="2"/>
            <charset val="186"/>
          </rPr>
          <t>Inta Stefenberga:</t>
        </r>
        <r>
          <rPr>
            <sz val="9"/>
            <color indexed="81"/>
            <rFont val="Tahoma"/>
            <family val="2"/>
            <charset val="186"/>
          </rPr>
          <t xml:space="preserve">
pēc gala maks. ~774884
</t>
        </r>
      </text>
    </comment>
  </commentList>
</comments>
</file>

<file path=xl/sharedStrings.xml><?xml version="1.0" encoding="utf-8"?>
<sst xmlns="http://schemas.openxmlformats.org/spreadsheetml/2006/main" count="1666" uniqueCount="747">
  <si>
    <t>Aizdevējs</t>
  </si>
  <si>
    <t>Mērķis</t>
  </si>
  <si>
    <t>Līguma noslēgšanas datums</t>
  </si>
  <si>
    <t>Aizņēmuma beigu termiņš</t>
  </si>
  <si>
    <t>Līguma Nr.; Trančes Nr.</t>
  </si>
  <si>
    <t>turpmākajos gados</t>
  </si>
  <si>
    <t xml:space="preserve">Pavisam </t>
  </si>
  <si>
    <t>5</t>
  </si>
  <si>
    <t>Valsts kase</t>
  </si>
  <si>
    <t>Dānijas Unibankas bezprocentu kredīta atmaksa</t>
  </si>
  <si>
    <t>20.12.2035.</t>
  </si>
  <si>
    <t>0001/A666</t>
  </si>
  <si>
    <t>pamatsumma</t>
  </si>
  <si>
    <t>%; apkalpošana</t>
  </si>
  <si>
    <t xml:space="preserve">Kopā </t>
  </si>
  <si>
    <t>Ūdenssaimniecības attīstība Strenču pilsētā</t>
  </si>
  <si>
    <t>22.03.2027.</t>
  </si>
  <si>
    <t>A2/1/07/130</t>
  </si>
  <si>
    <t>FS-1/2007</t>
  </si>
  <si>
    <t>Ēkas Pasta ielā 3 piemērošana Mazsalacas mūzikas un mākslas skolas vajadzībām</t>
  </si>
  <si>
    <t>20.04.2027.</t>
  </si>
  <si>
    <t>A2/1/07/275</t>
  </si>
  <si>
    <t>P-177/2007</t>
  </si>
  <si>
    <t>Mazsalacas pilsētas kultūras centra skatuves un aktieru telpas renovācija P-178/2017</t>
  </si>
  <si>
    <t>A2/1/07/276</t>
  </si>
  <si>
    <t>P-178/2007</t>
  </si>
  <si>
    <t>J.Endzelīna Kauguru pamatskolas ēku renovācijai</t>
  </si>
  <si>
    <t>21.06.2027.</t>
  </si>
  <si>
    <t>A2/1/07/431</t>
  </si>
  <si>
    <t>P-280/2007</t>
  </si>
  <si>
    <t>Kultūras centra rekonstrukcija, Burtnieku nov.</t>
  </si>
  <si>
    <t>20.05.2027.</t>
  </si>
  <si>
    <t>A2/1/07/430</t>
  </si>
  <si>
    <t>P-278/2007</t>
  </si>
  <si>
    <t>20.09.2027.</t>
  </si>
  <si>
    <t>A2/1/07/490</t>
  </si>
  <si>
    <t>FS-11/2007</t>
  </si>
  <si>
    <t>Finanšu stabilizācija Strenči</t>
  </si>
  <si>
    <t>20.12.2027.</t>
  </si>
  <si>
    <t>A2/1/07/662</t>
  </si>
  <si>
    <t>FS-15/2007</t>
  </si>
  <si>
    <t>PII būvniecībai Burtnieku nov.</t>
  </si>
  <si>
    <t>20.04.2028.</t>
  </si>
  <si>
    <t>A2/1/08/385</t>
  </si>
  <si>
    <t>P-90/2008</t>
  </si>
  <si>
    <t>20.04.2033.</t>
  </si>
  <si>
    <t>A2/1/08/462</t>
  </si>
  <si>
    <t>P-137/2008</t>
  </si>
  <si>
    <t>SIA Banga KPU pamatkapitāla pelielināšanai P-162/2008</t>
  </si>
  <si>
    <t>A2/1/08/520</t>
  </si>
  <si>
    <t>P-162/2008</t>
  </si>
  <si>
    <t>Finanšu stabilizācija Strenču pašvaldība</t>
  </si>
  <si>
    <t>20.11.2028.</t>
  </si>
  <si>
    <t>A2/1/08/530</t>
  </si>
  <si>
    <t>FS-3/2008</t>
  </si>
  <si>
    <t>Ēkas iegāde, Burtnieku novads</t>
  </si>
  <si>
    <t>20.06.2033.</t>
  </si>
  <si>
    <t>A2/1/08/623</t>
  </si>
  <si>
    <t>P-223/2008</t>
  </si>
  <si>
    <t>Ieguldījums SIA Rūjienas Siltums pamatkapitālā</t>
  </si>
  <si>
    <t>20.12.2028.</t>
  </si>
  <si>
    <t>A2/1/08/876</t>
  </si>
  <si>
    <t>P-379/2008</t>
  </si>
  <si>
    <t>20.12.2038.</t>
  </si>
  <si>
    <t>A2/1/08/967</t>
  </si>
  <si>
    <t>P-418/2008</t>
  </si>
  <si>
    <t>Zilākalna pagasta kultūras ielas un gājēju ietves rekonstrukcija</t>
  </si>
  <si>
    <t>20.03.2029.</t>
  </si>
  <si>
    <t>A2/1/09/94</t>
  </si>
  <si>
    <t>P-21/2009</t>
  </si>
  <si>
    <t>ELFLA projekts "Autoceļa "Pagasts-Birzītes" rekonstrukcija Vilpulkas pagastā, Valmieras rajonā"</t>
  </si>
  <si>
    <t>20.05.2029.</t>
  </si>
  <si>
    <t>A2/1/09/250</t>
  </si>
  <si>
    <t>P-126./2009</t>
  </si>
  <si>
    <t>Strenču kultūras nama rekonstrukcija</t>
  </si>
  <si>
    <t>20.12.2030.</t>
  </si>
  <si>
    <t>A2/1/10/223</t>
  </si>
  <si>
    <t>P-41/2010</t>
  </si>
  <si>
    <t>Energoefektivitātes paaugstināšana pašv. ēkās</t>
  </si>
  <si>
    <t>A2/1/10/329</t>
  </si>
  <si>
    <t>P-111/2010</t>
  </si>
  <si>
    <t>Ūdenssaimniecības attīstība Strenču pilsētā 2 . etaps</t>
  </si>
  <si>
    <t>20.03.2040.</t>
  </si>
  <si>
    <t>A2/1/10/507</t>
  </si>
  <si>
    <t>P-197/2010</t>
  </si>
  <si>
    <t>SIA Banga KPU pamatkapitāla palielināšanai Kohēzijas fonda projekta īstenošanai (trančes Nr.P-392/2010)</t>
  </si>
  <si>
    <t>20.09.2030.</t>
  </si>
  <si>
    <t>A2/1/10/791</t>
  </si>
  <si>
    <t>P-392/2010</t>
  </si>
  <si>
    <t>Strenču kultūras nama rekonstrukcija II kārta</t>
  </si>
  <si>
    <t>22.10.2040.</t>
  </si>
  <si>
    <t>A2/1/10/947</t>
  </si>
  <si>
    <t>P-495/2010</t>
  </si>
  <si>
    <t>ERAF Burtnieku novada Rencēnu sociālās dzīvojamās mājas vienkāršotā renovācija</t>
  </si>
  <si>
    <t>20.04.2026.</t>
  </si>
  <si>
    <t>A2/1/11/128</t>
  </si>
  <si>
    <t>P-52/2011</t>
  </si>
  <si>
    <t>KPFI Matīšu bērnudārza vienkāršotā rekonstrukcija</t>
  </si>
  <si>
    <t>A2/1/11/127</t>
  </si>
  <si>
    <t>P-53/2011</t>
  </si>
  <si>
    <t>20.11.2026.</t>
  </si>
  <si>
    <t>A2/1/11/722</t>
  </si>
  <si>
    <t>P-437/2011</t>
  </si>
  <si>
    <t>Rūjienas vidusskolas sporta zāles projektēšana un būvniecība</t>
  </si>
  <si>
    <t>20.01.2032.</t>
  </si>
  <si>
    <t>A2/1/12/21</t>
  </si>
  <si>
    <t>P-5/2012</t>
  </si>
  <si>
    <t>Sedas kultūras nama rekonstrukcija I kārta</t>
  </si>
  <si>
    <t>A2/1/12/100</t>
  </si>
  <si>
    <t>P-64/2012</t>
  </si>
  <si>
    <t>Ūdenssaimniecības attīstība-rekonstrukcija Sedas pilsētā</t>
  </si>
  <si>
    <t>20.04.2042.</t>
  </si>
  <si>
    <t>A2/1/12/101</t>
  </si>
  <si>
    <t>P-65/2012</t>
  </si>
  <si>
    <t>Ūdenssaimniecības infrastruktūras attīstība Jērcēnu pagastā</t>
  </si>
  <si>
    <t>A2/1/12/102</t>
  </si>
  <si>
    <t>P-66/2012</t>
  </si>
  <si>
    <t>Ūdenssaimniecības attīstība Strenču novada Plāņu pagasta Plāņu ciemā</t>
  </si>
  <si>
    <t>20.07.2042.</t>
  </si>
  <si>
    <t>A2/1/12/99</t>
  </si>
  <si>
    <t>P-221/2012</t>
  </si>
  <si>
    <t>Ūdenssaimniecības attīstība Strenču pilsētā, 3.etaps</t>
  </si>
  <si>
    <t>20.08.2042.</t>
  </si>
  <si>
    <t>A2/1/12/413</t>
  </si>
  <si>
    <t>P-287/2012</t>
  </si>
  <si>
    <t>Burtnieku novada Burtnieku PII rekonstrukcija</t>
  </si>
  <si>
    <t>20.08.2027.</t>
  </si>
  <si>
    <t>A2/1/12/475</t>
  </si>
  <si>
    <t>P-318/2012</t>
  </si>
  <si>
    <t>Matīšu pagasts pirmsskolas izglītības iestādes vienkāršotā rekonstrukcija</t>
  </si>
  <si>
    <t>20.10.2027.</t>
  </si>
  <si>
    <t>A2/1/12/652</t>
  </si>
  <si>
    <t>P-419/2012.</t>
  </si>
  <si>
    <t>Dzirnavu un Ozolu ielu posmu rekonstrukcija Valmiermuižā</t>
  </si>
  <si>
    <t>22.11.2027.</t>
  </si>
  <si>
    <t>A2/1/12/691</t>
  </si>
  <si>
    <t>P-430/2012</t>
  </si>
  <si>
    <t>20.01.2028.</t>
  </si>
  <si>
    <t>A2/1/13/29</t>
  </si>
  <si>
    <t>P-13/2013</t>
  </si>
  <si>
    <t>Tranzītielas posma Valkas ielā rekonstrukcija Strenču pilsētā</t>
  </si>
  <si>
    <t>20.07.2043.</t>
  </si>
  <si>
    <t>A2/1/13/365</t>
  </si>
  <si>
    <t>P248/2013</t>
  </si>
  <si>
    <t>Strenču novada vidusskolas ēkas logu,ārdurvju un pādējā stāva pārseguma siltināšana</t>
  </si>
  <si>
    <t>20.12.2023.</t>
  </si>
  <si>
    <t>A2/1/14/659</t>
  </si>
  <si>
    <t>P-423/2014</t>
  </si>
  <si>
    <t>Pirmsskolas izglītības iestādes būvniecība ar ārējām komunikācijām Ozolu iela 2A, Valmiermuižā</t>
  </si>
  <si>
    <t>20.02.2029.</t>
  </si>
  <si>
    <t>A2/1/14/97</t>
  </si>
  <si>
    <t>P-54/2014</t>
  </si>
  <si>
    <t>KPFI projekts (Nr.KPFI-15.2/131) oglekļa dioksīda emisiju samazināšana,uzlabojot Naukšēnu novada Naukšēnu vidusskolas ēkas enorgoefektivitāti"  īstenošanai</t>
  </si>
  <si>
    <t>20.04.2034.</t>
  </si>
  <si>
    <t>A2/1/14/252</t>
  </si>
  <si>
    <t>P-154/2014</t>
  </si>
  <si>
    <t>Tranzītielas posma Rīgas-Valkas ielā rekonstrukcija Strenču pilsētā</t>
  </si>
  <si>
    <t>20.07.2044.</t>
  </si>
  <si>
    <t>A2/1/14/491</t>
  </si>
  <si>
    <t>P-327/2014</t>
  </si>
  <si>
    <t>Ūdenssaimnicības attīstība Strenču pilsētā 4.etaps</t>
  </si>
  <si>
    <t>A2/1/14/492</t>
  </si>
  <si>
    <t>P-328/2014</t>
  </si>
  <si>
    <t>KPFI projekts Burtnieku Ausekļa vidusskolā</t>
  </si>
  <si>
    <t>A2/1/14/871</t>
  </si>
  <si>
    <t>P-562/2014</t>
  </si>
  <si>
    <t>Ozolu ielas, Valmiermuižā rekonstrukcija</t>
  </si>
  <si>
    <t>20.11.2034.</t>
  </si>
  <si>
    <t>A2/1/14/870</t>
  </si>
  <si>
    <t>P-561/2014</t>
  </si>
  <si>
    <t>KPFI projekts Rencēnu pagasta 2.bibliotēkas ēka</t>
  </si>
  <si>
    <t>20.11.2029.</t>
  </si>
  <si>
    <t>A2/1/14/964</t>
  </si>
  <si>
    <t>P-612/2014</t>
  </si>
  <si>
    <t>Ūdenssaimniecības attīstība-rekonstrukcija Sedas pilsētā,2.etaps</t>
  </si>
  <si>
    <t>20.03.2045.</t>
  </si>
  <si>
    <t>A2/1/15/137</t>
  </si>
  <si>
    <t>P-85/2015</t>
  </si>
  <si>
    <t>Burtnieku novada pašvaldības PII "Burtiņš" III kārtas būvniecība</t>
  </si>
  <si>
    <t>22.07.2030.</t>
  </si>
  <si>
    <t>A2/1/15/412</t>
  </si>
  <si>
    <t>P-276/2015</t>
  </si>
  <si>
    <t>Rencēnu internāta ēkas atjaunošana Valmieras ielā 23, Rencēnos</t>
  </si>
  <si>
    <t>20.07.2035.</t>
  </si>
  <si>
    <t>A2/1/15/413</t>
  </si>
  <si>
    <t>P-277/2015</t>
  </si>
  <si>
    <t>Prioritārais investīciju projekts "Rūjienas vidusskolas sporta laukuma rekonstrukcijas un teritorijas labiekārtošanas 1. kārta"</t>
  </si>
  <si>
    <t>A2/1/15/376</t>
  </si>
  <si>
    <t>P-251/2015</t>
  </si>
  <si>
    <t>Naukšēnu novada vidusskolas nepabeigtās piebūves renovācija</t>
  </si>
  <si>
    <t>A2/1/15/434</t>
  </si>
  <si>
    <t>P-295/2015</t>
  </si>
  <si>
    <t>Lauku ielas seguma pārbūves I kārta Valmieras pagastā</t>
  </si>
  <si>
    <t>20.10.2030.</t>
  </si>
  <si>
    <t>A2/1/15/591</t>
  </si>
  <si>
    <t>P-390/2015</t>
  </si>
  <si>
    <t>Nekustamā īpašuma "Ēveles klubs" rekonstrukcija</t>
  </si>
  <si>
    <t>20.08.2036.</t>
  </si>
  <si>
    <t>A2/1/16/345</t>
  </si>
  <si>
    <t>P-241/2016</t>
  </si>
  <si>
    <t>Prioritārā investīciju projekta "Nekustamā īpašuma "Matīšu kultūras nams" rekonstrukcija" īstenošanai</t>
  </si>
  <si>
    <t>20.05.2042.</t>
  </si>
  <si>
    <t>A2/1/17/333</t>
  </si>
  <si>
    <t>P-228/2017</t>
  </si>
  <si>
    <t>Projekta "Burtnieku novada pašvaldības pirmsskolas izglītības iestādes "Sienāzītis" pārbūve" īstenošanai</t>
  </si>
  <si>
    <t>20.07.2032.</t>
  </si>
  <si>
    <t>A2/1/17/498</t>
  </si>
  <si>
    <t>P-365/2017</t>
  </si>
  <si>
    <t>Projekta "Viestura ciema ielu seguma pārbūve Valmieras pagastā, Burtnieku novadā"īstenošanai</t>
  </si>
  <si>
    <t>A2/1/17/587</t>
  </si>
  <si>
    <t>P442/2017</t>
  </si>
  <si>
    <t>EFLA projekts Autoceļa Ķire-Jaunlambikas un tilta pār Rūju pārbūve / Naukšēni</t>
  </si>
  <si>
    <t>20.08.2037.</t>
  </si>
  <si>
    <t>A2/1/17/661</t>
  </si>
  <si>
    <t>P-506/2017</t>
  </si>
  <si>
    <t>ERAF projekts Uzņēmējdarbības attīstībai nepieciešamās infrastruktūras attīstība Naukšēnu pagastā</t>
  </si>
  <si>
    <t>A2/1/17/672</t>
  </si>
  <si>
    <t>P-520/2017</t>
  </si>
  <si>
    <t>Pansionāta "Valmiera" investīciju projektu īstenošanai</t>
  </si>
  <si>
    <t>A2/1/17/715</t>
  </si>
  <si>
    <t>P-554/2017</t>
  </si>
  <si>
    <t>Projekta "Mazsalacā Parka ielas pārbūve posmā no Lazdu ielas līdz Muižas ielai (pārvads)" īstenošanai (tranče Nr.P-587/2017)</t>
  </si>
  <si>
    <t>A2/1/17/758</t>
  </si>
  <si>
    <t>P-587/2017</t>
  </si>
  <si>
    <t>Projekta "Dzirnavu ielas pārbūve un gājēju ietves izbūve (Alejas iela) Valmieras pagastā, Burtnieku novadā, īstenošanai</t>
  </si>
  <si>
    <t>20.10.2032.</t>
  </si>
  <si>
    <t>A2/1/17/765</t>
  </si>
  <si>
    <t>P-595/2017</t>
  </si>
  <si>
    <t>Prioritārais investīciju projekts "Rūjienas estrādes rekonstrukcija"</t>
  </si>
  <si>
    <t>A2/1/17/805</t>
  </si>
  <si>
    <t>P-625/2017</t>
  </si>
  <si>
    <t>Projekta "Nekustamā īpašuma "Matīšu kultūras nams" rekonstrukcija" īstenošanai</t>
  </si>
  <si>
    <t>22.12.2042.</t>
  </si>
  <si>
    <t>A2/1/17/917</t>
  </si>
  <si>
    <t>P-687/2017</t>
  </si>
  <si>
    <t>ERAF projektu Nr.8.1.2.0/18/I/004; Nr.4.2.2.0/18/I/ 002 Dienesta viesnīcas Ausekļa ielā 25 C, Valmierā pārbūves uzsākšanai</t>
  </si>
  <si>
    <t>20.02.2043.</t>
  </si>
  <si>
    <t>A2/1/18/94</t>
  </si>
  <si>
    <t>P-76/2018</t>
  </si>
  <si>
    <t>ERAF projekta Nr.8.1.2.0/18/I/004 daļas Valmieras Pārgaujas ģimnāzija Zvaigžņu ielā 4, Valmierā pārbūve, mācību vides uzlabošana</t>
  </si>
  <si>
    <t>20.05.2043.</t>
  </si>
  <si>
    <t>A2/1/18/311</t>
  </si>
  <si>
    <t>P-253/2018</t>
  </si>
  <si>
    <t>22.06.2043.</t>
  </si>
  <si>
    <t>A2/1/18/402</t>
  </si>
  <si>
    <t>P-336/2018</t>
  </si>
  <si>
    <t>Projekta "Rencēnu pamatskolas stadiona pārbūve Rencēnos, Rencēnu pagastā Burtnieku novadā" īstenošanai</t>
  </si>
  <si>
    <t>20.06.2038.</t>
  </si>
  <si>
    <t>A2/1/18/404</t>
  </si>
  <si>
    <t>P-334/2018</t>
  </si>
  <si>
    <t>Projekta "Lauku ielas seguma pārbūves 2.kārta Valmiermuižā, Valmieras pagastā, Burtnieku novadā" īstenošanai</t>
  </si>
  <si>
    <t>20.07.2033.</t>
  </si>
  <si>
    <t>A2/1/18/470</t>
  </si>
  <si>
    <t>P-389/2018</t>
  </si>
  <si>
    <t>A2/1/18/525</t>
  </si>
  <si>
    <t>P-442/2018</t>
  </si>
  <si>
    <t>Igaunijas-Latvijas pārrobežu sadarbības programmas projekta "Zaļais dzelzceļš-bijušo dzelzceļa līniju pielāgošana videi draudzīgā tūrisma maršrutā(investīciju daļas) īstenošanai"</t>
  </si>
  <si>
    <t>20.08.2028.</t>
  </si>
  <si>
    <t>A2/1/18/584</t>
  </si>
  <si>
    <t>P-496/2018</t>
  </si>
  <si>
    <t>Projekta "Burtnieku novada pašvaldības autoceļu remontdarbi 2018.gada vasaras periodā" īstenošanai</t>
  </si>
  <si>
    <t>20.09.2028.</t>
  </si>
  <si>
    <t>A2/1/18/686</t>
  </si>
  <si>
    <t>P-592/2018</t>
  </si>
  <si>
    <t>Projekta "Dzirnavu ielas seguma pārbūve Valmieras pagastā, Burtnieku novadā" īstenošanai</t>
  </si>
  <si>
    <t>20.10.2033.</t>
  </si>
  <si>
    <t>A2/1/18/733</t>
  </si>
  <si>
    <t>P-615/2018</t>
  </si>
  <si>
    <t>20.10.2028.</t>
  </si>
  <si>
    <t>A2/1/18/766</t>
  </si>
  <si>
    <t>P-631/2018</t>
  </si>
  <si>
    <t>A2/1/18/837</t>
  </si>
  <si>
    <t>P-684/2018</t>
  </si>
  <si>
    <t>20.04.2029.</t>
  </si>
  <si>
    <t>A2/1/18/836</t>
  </si>
  <si>
    <t>P-685/2018</t>
  </si>
  <si>
    <t>ELFLA projekta "Pašvaldības nozīmes koplietošanas meliorācijas sistēmas atjaunošana Burtnieku novadā</t>
  </si>
  <si>
    <t>22.12.2025.</t>
  </si>
  <si>
    <t>A2/1/18/857</t>
  </si>
  <si>
    <t>P-711/2018</t>
  </si>
  <si>
    <t>Valsts nozīmes sporta infrasruktūras attīstības projekta Vidzemes Olimpiskā centra Valmierā attīstības projekta daļas BMX trases būvniecības daļēja finansēšana</t>
  </si>
  <si>
    <t>21.03.2044.</t>
  </si>
  <si>
    <t>A2/1/19/53</t>
  </si>
  <si>
    <t>P-22/2019</t>
  </si>
  <si>
    <t>apkalpošana</t>
  </si>
  <si>
    <t>ERAF projekta (Nr.4.2.2.0/17/I/096)"Energoefektivitātes paaugstināšana izglītības iestādē, Nākotnes ielā 1, Vaidava" īstenošanai</t>
  </si>
  <si>
    <t>A2/1/19/119</t>
  </si>
  <si>
    <t>P-60/2019</t>
  </si>
  <si>
    <t>Valsts nozīmes sporta infrastruktūras attīstības projekta "J.Daliņa stadiona rekonstrukcija un vieglatlētikas manēžas būvniecība" īstenošanai"</t>
  </si>
  <si>
    <t>20.04.2049.</t>
  </si>
  <si>
    <t>A2/1/19/155</t>
  </si>
  <si>
    <t>P-109/2019</t>
  </si>
  <si>
    <t>ERAF projekts Naukšēnu novada pašvaldības administratīvās ēkas energoefektivitātes paaugstināšana</t>
  </si>
  <si>
    <t>20.05.2039.</t>
  </si>
  <si>
    <t>A2/1/19/218</t>
  </si>
  <si>
    <t>P-128/2019</t>
  </si>
  <si>
    <t>20.06.2034.</t>
  </si>
  <si>
    <t>A2/1/19/240</t>
  </si>
  <si>
    <t>P-163/2019</t>
  </si>
  <si>
    <t>ELFLA projekta (Nr.18-09-A00702-000108) "Grants ceļa Graudiņi - Pučurga - Matīši pārbūve 3.078 km garumā" īstenošanai</t>
  </si>
  <si>
    <t>A2/1/19/242</t>
  </si>
  <si>
    <t>P-152/2019</t>
  </si>
  <si>
    <t>20.09.2029.</t>
  </si>
  <si>
    <t>A2/1/19/350</t>
  </si>
  <si>
    <t>P-230/2019</t>
  </si>
  <si>
    <t>ERAF projekta (Nr.3.3.1.0/19/I/001) "Atbalsts komercdarbībai - Kauguru ielas pārbūve" īstenošanai</t>
  </si>
  <si>
    <t>20.10.2034.</t>
  </si>
  <si>
    <t>A2/1/19/382</t>
  </si>
  <si>
    <t>P-250/2019</t>
  </si>
  <si>
    <t>ERAF projekta (Nr.4.2.2.0/17/I/095)"Energoefektivitātes paaugstināšana Kocēnu inovada domes ēkā Alejas iela 8,Kocēni" īstenošanai</t>
  </si>
  <si>
    <t>A2/1/19/464</t>
  </si>
  <si>
    <t>P-294/2019</t>
  </si>
  <si>
    <t>ERAF projekta (Nr.8.1.2.0/18/I/004) "Valmieras Pārgaujas ģimnāzijas un Valmieras Viestura vidusskolas mācību vides uzlabošana un Dienesta viesīcas Ausekļa ielā pārbūve" īstenošanai</t>
  </si>
  <si>
    <t>20.04.2045.</t>
  </si>
  <si>
    <t>A2/1/20/362</t>
  </si>
  <si>
    <t>P-149/2020</t>
  </si>
  <si>
    <t>%</t>
  </si>
  <si>
    <t>ERAF projekta (Nr.4.2.2.0/18/I/002) "Dienesta viesnīcas Ausekļa ielā energoefektivitātes paaugstināšana un pārbūve  īstenošanai</t>
  </si>
  <si>
    <t>20.07.2045.</t>
  </si>
  <si>
    <t>A2/1/20/439</t>
  </si>
  <si>
    <t>P-184/2020</t>
  </si>
  <si>
    <t>Projekta"Mālu ielas Valmierā (posmā no Beātes ielas līdz Matīšu šosejai)pārbūve" īstenošanai</t>
  </si>
  <si>
    <t>A2/1/20/535</t>
  </si>
  <si>
    <t>P-233/2020</t>
  </si>
  <si>
    <t>Projekta"Teodora Ūdera un Tālavas ielas Valmierā pārbūve" īstenošanai</t>
  </si>
  <si>
    <t>A2/1/20/534</t>
  </si>
  <si>
    <t>P-234/2020</t>
  </si>
  <si>
    <t>Projekta "Valmieras pilsētas pašvaldības transporta infrastruktūras attīstība - kopējo gājēju un velosipēdistu ceļu izbūve Valkas ielā un Rubenes ielā, Valmierā" īstenošanai</t>
  </si>
  <si>
    <t>20.08.2035.</t>
  </si>
  <si>
    <t>A2/1/20/619</t>
  </si>
  <si>
    <t>P-288/2020</t>
  </si>
  <si>
    <t>Projekta "Valdemāra ielas pārbūve posmā no Rīgas iela līdz Aldara ielai Rūjienā, Rūjienas novadā" īstenošanai</t>
  </si>
  <si>
    <t>20.09.2045.</t>
  </si>
  <si>
    <t>A2/1/20/728</t>
  </si>
  <si>
    <t>P-379/2020</t>
  </si>
  <si>
    <t>projekta "Vaidavas ciema centra laukuma un tam piegulošās teritorijas labiekārtošanas 1.kārta - Skolas iela Vaidavā, Vaidavas pagastā" īstenošanai</t>
  </si>
  <si>
    <t>A2/1/20/749</t>
  </si>
  <si>
    <t>P-388/2020</t>
  </si>
  <si>
    <t>EKII projekta (Nr.EKII-3/30) "Viedo tehnoloģiju ieviešana Valmieras pilsētas apgaismojuma sistēmā" īstenošanai</t>
  </si>
  <si>
    <t>20.11.2035.</t>
  </si>
  <si>
    <t>A2/1/20/855</t>
  </si>
  <si>
    <t>P-475/2020</t>
  </si>
  <si>
    <t>ERAF projekta (Nr.5.5.1.0/17/I/004) "Kultūra,vēsture,arhitektūra Gaujas un laika lokos" īstenošanai</t>
  </si>
  <si>
    <t>20.11.2040.</t>
  </si>
  <si>
    <t>A2/1/20/856</t>
  </si>
  <si>
    <t>P-474/2020</t>
  </si>
  <si>
    <t>Autoceļa Breidas - Zemgaļi, Naukšēnu ter. pārbūves 2.kārta</t>
  </si>
  <si>
    <t>A2/1/20/884</t>
  </si>
  <si>
    <t>P-486/2020</t>
  </si>
  <si>
    <t>Projekta "Liepu ielas pārbūve Kocēnos" īstenošanai</t>
  </si>
  <si>
    <t>20.11.2030.</t>
  </si>
  <si>
    <t>A2/1/20/893</t>
  </si>
  <si>
    <t>P-496/2020</t>
  </si>
  <si>
    <t>Projekta "Vidus ielas pārbūve Kocēnos, 2.kārta" īstenošanai</t>
  </si>
  <si>
    <t>A2/1/20/892</t>
  </si>
  <si>
    <t>P-497/2020</t>
  </si>
  <si>
    <t>ERAF projekta (Nr.5.5.1.0/20/I/001) "Valmieras Vēsturiskā centra attīstība" īstenošanai</t>
  </si>
  <si>
    <t>21.01.2041.</t>
  </si>
  <si>
    <t>A2/1/21/15</t>
  </si>
  <si>
    <t>P-6/2021</t>
  </si>
  <si>
    <t>Investīciju projektu īstenošanai (saistību pārjaunojums)</t>
  </si>
  <si>
    <t>20.11.2043.</t>
  </si>
  <si>
    <t>A2/1/21/25</t>
  </si>
  <si>
    <t>PP-2/2021</t>
  </si>
  <si>
    <t>20.02.2041.</t>
  </si>
  <si>
    <t>A2/1/21/40</t>
  </si>
  <si>
    <t>P-13/2021</t>
  </si>
  <si>
    <t>ERAF projekta (Nr.4.2.2.0/19/I/002) "Ēkas Stacijas ielā 26, Valmierā energoefektivitātes paaugstināšana" īstenošanai</t>
  </si>
  <si>
    <t>20.03.2036.</t>
  </si>
  <si>
    <t>A2/1/21/93</t>
  </si>
  <si>
    <t>P-47/2021</t>
  </si>
  <si>
    <t>23.04.2041.</t>
  </si>
  <si>
    <t>A2/1/21/151</t>
  </si>
  <si>
    <t>P-101/2021</t>
  </si>
  <si>
    <t>A2/1/21/200</t>
  </si>
  <si>
    <t>PP-15/2021</t>
  </si>
  <si>
    <t>ERAF projekta Nr.9.3.1.1/18/I007 "Pakalpojumu infrastruktūras attīstība deinstitucionalizācijas plāna īstenošanai Kocēnu novadā" īstenošanai</t>
  </si>
  <si>
    <t>20.05.2031.</t>
  </si>
  <si>
    <t>A2/1/21/293</t>
  </si>
  <si>
    <t>P-197/2021</t>
  </si>
  <si>
    <t>ERAF projekta (Nr.9.3.1.1/19/I/043) "Sabiedrībā balstītu sociālo pakalpojumu centra izveide Rūjienā" īstenošanai</t>
  </si>
  <si>
    <t>20.05.2041.</t>
  </si>
  <si>
    <t>A2/1/21/292</t>
  </si>
  <si>
    <t>P-199/2021</t>
  </si>
  <si>
    <t>20.06.2036</t>
  </si>
  <si>
    <t>A2/1/21/341</t>
  </si>
  <si>
    <t>P-229/2021</t>
  </si>
  <si>
    <t>Prioritārā investīciju projekta "Aktīvās atpūtas un sporta parka izbūve Rīgas ielā 43A, Valmierā" īstenošanai</t>
  </si>
  <si>
    <t>20.06.2036.</t>
  </si>
  <si>
    <t>A2/1/21/356</t>
  </si>
  <si>
    <t>P-251/2021</t>
  </si>
  <si>
    <t>20.07.2051.</t>
  </si>
  <si>
    <t>A2/1/21/458</t>
  </si>
  <si>
    <t>P-332/2021</t>
  </si>
  <si>
    <t>Projekta "Arāju ielas pārbūve Kocēnos" īstenošanai</t>
  </si>
  <si>
    <t>06.10.2021.</t>
  </si>
  <si>
    <t>22.09.2031.</t>
  </si>
  <si>
    <t>A2/1/21/610</t>
  </si>
  <si>
    <t>P-449/2021</t>
  </si>
  <si>
    <t>Projekta "Bērzu  ielas pārbūve Kocēnos" īstenošanai</t>
  </si>
  <si>
    <t>A2/1/21/611</t>
  </si>
  <si>
    <t>P-448/2021</t>
  </si>
  <si>
    <t>"Trīsstūris", Hallartes ielas 1.kārtas izbūve Valmieras pagastā, Burtnieku novadā</t>
  </si>
  <si>
    <t>20.09.2041.</t>
  </si>
  <si>
    <t>A2/1/21/612</t>
  </si>
  <si>
    <t>P-428/2021</t>
  </si>
  <si>
    <t>Valmieras pirmsskolas izglītības iestādes "Varavīksne" telpu Raiņa ielā 11, Valmiera pārbūve</t>
  </si>
  <si>
    <t>07.12.2021.</t>
  </si>
  <si>
    <t>20.11.2046.</t>
  </si>
  <si>
    <t>A2/1/21/743</t>
  </si>
  <si>
    <t>P-565/2021</t>
  </si>
  <si>
    <t>23.12.2021.</t>
  </si>
  <si>
    <t>20.12.2041.</t>
  </si>
  <si>
    <t>A2/1/21/777</t>
  </si>
  <si>
    <t>P-582/2021</t>
  </si>
  <si>
    <t>A2/1/21/778</t>
  </si>
  <si>
    <t>P-581/2021</t>
  </si>
  <si>
    <t>28.02.2022.</t>
  </si>
  <si>
    <t>20.02.2047.</t>
  </si>
  <si>
    <t>A2/1/22/32</t>
  </si>
  <si>
    <t>P -10/ 2022</t>
  </si>
  <si>
    <t>20.02.2042.</t>
  </si>
  <si>
    <t>A2/1/22/33</t>
  </si>
  <si>
    <t>P - 9 /2022</t>
  </si>
  <si>
    <t>Daudzfunkcionālā sociālo pakalpojumu centra un grupu dzīvokļu izveide Valmieras pilsētā - SAM 9.3.1.1.</t>
  </si>
  <si>
    <t>04.07.2022.</t>
  </si>
  <si>
    <t>20.06.2042.</t>
  </si>
  <si>
    <t>A2/1/22/167</t>
  </si>
  <si>
    <t>P -111/2022</t>
  </si>
  <si>
    <t>Raiņa ielas divkārtu asfalta seguma atjaunošana Rūjienā, Valmieras novadā</t>
  </si>
  <si>
    <t>17.08.2022.</t>
  </si>
  <si>
    <t>20.07.2037.</t>
  </si>
  <si>
    <t>A2/1/22/315</t>
  </si>
  <si>
    <t>P -227/2022</t>
  </si>
  <si>
    <t>Gājēju ietvju atjaunošana Ādama Alkšņa ielā un Raiņa ielā Rūjienā, Valmieras novadā</t>
  </si>
  <si>
    <t>A2/1/22/316</t>
  </si>
  <si>
    <t>P -228/2022</t>
  </si>
  <si>
    <t>Ielu divkārtu virsmu apstrāde Valmierā 1.kārta</t>
  </si>
  <si>
    <t>A2/1/22/317</t>
  </si>
  <si>
    <t>P -229/2022</t>
  </si>
  <si>
    <t>Ielu divkārtu virsmu apstrāde Valmierā 2.kārta</t>
  </si>
  <si>
    <t>A2/1/22/318</t>
  </si>
  <si>
    <t>P -230/2022</t>
  </si>
  <si>
    <t>Ūdens ielas (posmā no Smiltenes līdz Pleskavas ielai) Valmierā pārbūve</t>
  </si>
  <si>
    <t>A2/1/22/319</t>
  </si>
  <si>
    <t>P -231/2022</t>
  </si>
  <si>
    <t>Pašvaldības ēkas Palejas ielā 5, Valmierā energoefektivitātes paaugstināšana - SAM 4.2.2.</t>
  </si>
  <si>
    <t>12.09.2022.</t>
  </si>
  <si>
    <t>A2/1/22/376</t>
  </si>
  <si>
    <t>P -260/2022</t>
  </si>
  <si>
    <t>24.10.2022.</t>
  </si>
  <si>
    <t>20.10.2037.</t>
  </si>
  <si>
    <t>A2/1/22/462</t>
  </si>
  <si>
    <t>P -321/2022</t>
  </si>
  <si>
    <t>ERAF projekta (Nr.5.5.1.0/20/I/001) "Valmieras Vēsturiskā centra attīstība" papildus finansēšanai</t>
  </si>
  <si>
    <t>19.06.2023.</t>
  </si>
  <si>
    <t>A2/1/23/144</t>
  </si>
  <si>
    <t>P -94/2023</t>
  </si>
  <si>
    <t>1.06.2023.</t>
  </si>
  <si>
    <t>20.05.2033.</t>
  </si>
  <si>
    <t>A2/1/23/127</t>
  </si>
  <si>
    <t>P -81/2023</t>
  </si>
  <si>
    <t>A2/1/23/128</t>
  </si>
  <si>
    <t>P -82/2023</t>
  </si>
  <si>
    <t>12.07.2023.</t>
  </si>
  <si>
    <t>21.06.2038.</t>
  </si>
  <si>
    <t>A2/1/23/192</t>
  </si>
  <si>
    <t>P-137/2023</t>
  </si>
  <si>
    <t>Rubenes, Raiņa, Valkas ielu rotācijas aplis, Valmierā pārbūve</t>
  </si>
  <si>
    <t>A2/1/23/194</t>
  </si>
  <si>
    <t>P-138/2023</t>
  </si>
  <si>
    <t>Georga Apiņa ielas, Valmierā (posmā no Rīgas ielas līdz Beātes ielai)  remontam</t>
  </si>
  <si>
    <t>A2/1/23/195</t>
  </si>
  <si>
    <t>P-139/2023</t>
  </si>
  <si>
    <t xml:space="preserve">Tērbatas iela posmā no apaļā veikala līdz Viestura alejai, ieskaitot krustojumus, Valmierā asfalta virskārtas nomaiņa </t>
  </si>
  <si>
    <t>A2/1/23/196</t>
  </si>
  <si>
    <t>P-140/2023</t>
  </si>
  <si>
    <t>A2/1/23/197</t>
  </si>
  <si>
    <t>P-141/2023</t>
  </si>
  <si>
    <t xml:space="preserve">Ielas un ietves atjaunošana Rīgas iela, Rūjienā (posmā no Blaumaņa līdz Pērnavas ielai) </t>
  </si>
  <si>
    <t>A2/1/23/198</t>
  </si>
  <si>
    <t>P-142/2023</t>
  </si>
  <si>
    <t>Ceļa darbu un apgaismojuma pārbūve Ozolu ielā un Iršuparka alejā, Valmiermuiža, Valmieras pag., valmieras novadā</t>
  </si>
  <si>
    <t>13.07.2023.</t>
  </si>
  <si>
    <t>A2/1/23/206</t>
  </si>
  <si>
    <t>P-146/2023</t>
  </si>
  <si>
    <t>31.07.2023.</t>
  </si>
  <si>
    <t>20.07.2038.</t>
  </si>
  <si>
    <t>A2/1/23/222</t>
  </si>
  <si>
    <t>P -160/2023</t>
  </si>
  <si>
    <t xml:space="preserve">Vanšu tilta atjaunošana Valmierā </t>
  </si>
  <si>
    <t>11.09.2023.</t>
  </si>
  <si>
    <t>20.08.2038.</t>
  </si>
  <si>
    <t>A2/1/23/350</t>
  </si>
  <si>
    <t>P-273/2023</t>
  </si>
  <si>
    <t>A2/1/23/352</t>
  </si>
  <si>
    <t>P-274/2023</t>
  </si>
  <si>
    <t xml:space="preserve">Gājēju ietves un lietus ūdens atvades risinājuma būvniecība Trikātas ielā un Pulkveža Brieža ielā, Strenčos </t>
  </si>
  <si>
    <t>20.08.2033.</t>
  </si>
  <si>
    <t>A2/1/23/353</t>
  </si>
  <si>
    <t>P-275/2023</t>
  </si>
  <si>
    <t>Grantēto ielu divkārtu virsmas pastrāde Kalna iela un Jāņa Lielā iela, Mazsalacā</t>
  </si>
  <si>
    <t>A2/1/23/354</t>
  </si>
  <si>
    <t>P-276/2023</t>
  </si>
  <si>
    <t xml:space="preserve">Gājēju ietves pārbūve Rubenes ciemā, Kocēnu pagastā </t>
  </si>
  <si>
    <t>A2/1/23/356</t>
  </si>
  <si>
    <t>P-278/2023</t>
  </si>
  <si>
    <t>Dārza ielas pārbūve, Kocēnu pagastā, Valmieras novadā</t>
  </si>
  <si>
    <t>A2/1/23/355</t>
  </si>
  <si>
    <t>P-277/2023</t>
  </si>
  <si>
    <t>Valmieras 2.vidusskolas investīciju projekts "Mazās sporta zāles pārbūve"</t>
  </si>
  <si>
    <t>26.09.2023.</t>
  </si>
  <si>
    <t>20.09.2043.</t>
  </si>
  <si>
    <t>A2/1/23/402</t>
  </si>
  <si>
    <t>P - 327/2023</t>
  </si>
  <si>
    <t xml:space="preserve">Lietus ūdens atvades izbūve Uzvaras un Dārza ielās, Sedas pilsētā </t>
  </si>
  <si>
    <t>01.11.2023.</t>
  </si>
  <si>
    <t>A2/1/23/436</t>
  </si>
  <si>
    <t>P-349/2023</t>
  </si>
  <si>
    <t>04.12.2023.</t>
  </si>
  <si>
    <t>22.11.2038.</t>
  </si>
  <si>
    <t>A2/1/23/479</t>
  </si>
  <si>
    <t>P -390/2023</t>
  </si>
  <si>
    <t>Gājēju ietves un apgaismojuma izbūve Zilākalnā, Zilākalna pagastā, Valmieras novadā</t>
  </si>
  <si>
    <t>28.06.2024.</t>
  </si>
  <si>
    <t>A2/1/24/105</t>
  </si>
  <si>
    <t>P-100/2024</t>
  </si>
  <si>
    <t>Rietekļa ielas un siltumtrases Rietekļa ielā, Valmierā būvniecība</t>
  </si>
  <si>
    <t>30.07.2024.</t>
  </si>
  <si>
    <t>20.07.2039.</t>
  </si>
  <si>
    <t>A2/1/24/124</t>
  </si>
  <si>
    <t>P-119/2024</t>
  </si>
  <si>
    <t>A2/1/24/125</t>
  </si>
  <si>
    <t>P-120/2024</t>
  </si>
  <si>
    <t>Valmieras novada pašvaldības budžeta un finanšu vadībai</t>
  </si>
  <si>
    <t>20.07.2027.</t>
  </si>
  <si>
    <t>A2/1/24/126</t>
  </si>
  <si>
    <t>P-121/2024</t>
  </si>
  <si>
    <t>Strauta ielas, Valmierā, Valmieras novadā, pārbūve</t>
  </si>
  <si>
    <t>05.09.2024.</t>
  </si>
  <si>
    <t>20.08.2039.</t>
  </si>
  <si>
    <t>A2/1/24/195</t>
  </si>
  <si>
    <t>P-183/2024</t>
  </si>
  <si>
    <t>Parka ielas (posmā no Gustava Ērenpreisa ielas līdz Lazdu ielai), asfalta virskārtas atjaunošana Mazsalacā, Valmieras nov</t>
  </si>
  <si>
    <t>A2/1/24/196</t>
  </si>
  <si>
    <t>P-184/2024</t>
  </si>
  <si>
    <t>Cēsu ielas (posmā no Rīgas ielas līdz Linarda Laicena, Stacijas, Mazās Stacijas ielas rotācijas aplim) asfalta dilumkārtas atjaunošana, Valmierā, Valmieras novadā</t>
  </si>
  <si>
    <t>A2/1/24/197</t>
  </si>
  <si>
    <t>P-185/2024</t>
  </si>
  <si>
    <t>Beātes ielas (posmā no Raiņa ielas līdz Kārļa Baumaņa ielai) asfalta dilumkārtas atjaunošana, Valmierā, Valmieras novadā</t>
  </si>
  <si>
    <t>A2/1/24/198</t>
  </si>
  <si>
    <t>P-186/2024</t>
  </si>
  <si>
    <t>20.08.2034.</t>
  </si>
  <si>
    <t>A2/1/24/199</t>
  </si>
  <si>
    <t>P-187/2024</t>
  </si>
  <si>
    <t>Skolas ielas (posmā no Viestura ielas līdz Dzirnavu ielai) un Skolas ielas gājēju ietves (posmā no Viestura ielas līdz Bērzu ielai) pārbūve Rūjienā, Valmieras novadā</t>
  </si>
  <si>
    <t>10.09.2024.</t>
  </si>
  <si>
    <t>A2/1/24/218</t>
  </si>
  <si>
    <t>P-206/2024</t>
  </si>
  <si>
    <t>EKII projekta (Nr.EKII-7/26) "Publisko teritoriju ielu apgaismojuma inženiertīklu pārbūve Valmierā, Valmieras novadā" īstenošanai</t>
  </si>
  <si>
    <t>29.10.2024.</t>
  </si>
  <si>
    <t>20.10.2039.</t>
  </si>
  <si>
    <t>A2/1/24/279</t>
  </si>
  <si>
    <t>P-258/2024</t>
  </si>
  <si>
    <t xml:space="preserve">ANMP projekts Valmieras  Industriālā parka attīstība </t>
  </si>
  <si>
    <t>22.11.2024.</t>
  </si>
  <si>
    <t>20.11.2054.</t>
  </si>
  <si>
    <t>A2/1/24/296</t>
  </si>
  <si>
    <t>P-274/2024</t>
  </si>
  <si>
    <t>A2/1/24/297</t>
  </si>
  <si>
    <t>P-275/2024</t>
  </si>
  <si>
    <t>Ausekļa ielas (posmā no Rīgas ielas līdz Voldemāra Baloža ielai), Valmierā dilumkārtas atjaunošana</t>
  </si>
  <si>
    <t>06.05.2025.</t>
  </si>
  <si>
    <t>20.04.2040.</t>
  </si>
  <si>
    <t>A2/1/25/93</t>
  </si>
  <si>
    <t>P-89/2025</t>
  </si>
  <si>
    <t>Ielu seguma atjaunošana Rūjienas pilsētā (Jānu, Kalēju, Aspazijas, Bērzu), Valmieras novadā</t>
  </si>
  <si>
    <t>26.05.2025.</t>
  </si>
  <si>
    <t>20.05.2035.</t>
  </si>
  <si>
    <t>A2/1/25/119</t>
  </si>
  <si>
    <t>P-113/2025</t>
  </si>
  <si>
    <t>Semināra ielas no Pāvila Rozīša ielas līdz  Smilšu ielai pārbūve un transportlīdzekļu novietnes izbūve Valmierā, Valmieras novadā</t>
  </si>
  <si>
    <t>20.05.2040.</t>
  </si>
  <si>
    <t>A2/1/25/120</t>
  </si>
  <si>
    <t>P-114/2025</t>
  </si>
  <si>
    <t>SAM 6.1.1.6. projekts Bezemisijas transportlīdzekļu izmantošanas veicināšana Valmieras novadā</t>
  </si>
  <si>
    <t>20.05.2032.</t>
  </si>
  <si>
    <t>A2/1/25/121</t>
  </si>
  <si>
    <t>P-115/2025</t>
  </si>
  <si>
    <t>A2/1/25/122</t>
  </si>
  <si>
    <t>P-116/2025</t>
  </si>
  <si>
    <t>Parka ielas (posmā no Muižas ielas līdz Parka 30) asfalta virskārtas atjaunošana Mazsalacā, Valmieras novadā</t>
  </si>
  <si>
    <t>26.06.2025.</t>
  </si>
  <si>
    <t>20.06.2035.</t>
  </si>
  <si>
    <t>A2/1/25/174</t>
  </si>
  <si>
    <t>P-168/2025</t>
  </si>
  <si>
    <t>Trikātas pamatskolas sporta halles jumta remonts Trikātā, Trikātas pagasts, Valmieras novadā</t>
  </si>
  <si>
    <t>20.06.2045.</t>
  </si>
  <si>
    <t>A2/1/25/175</t>
  </si>
  <si>
    <t>P-169/2025</t>
  </si>
  <si>
    <t>Izglītības iestādes ēkas jumta seguma nomaiņa Skolas iela 11, Matīši, Valmieras novadā</t>
  </si>
  <si>
    <t>A2/1/25/176</t>
  </si>
  <si>
    <t>P-170/2025</t>
  </si>
  <si>
    <t>Valkas ielas (A3) no Slimnīcas ielas līdz pilsētas robežai asfalta dilumkārtas atjaunošana Strenčos, Valmieras novads</t>
  </si>
  <si>
    <t>25.07.2025.</t>
  </si>
  <si>
    <t>A2/1/25/264</t>
  </si>
  <si>
    <t>P-256/2025</t>
  </si>
  <si>
    <t>Rīgas ielas (P22) posmā no Valdemāra ielas līdz Blaumaņa ielai asfalta dilumkārtas atjaunošana, Rūjienā,  Valmieras novadā</t>
  </si>
  <si>
    <t>A2/1/25/265</t>
  </si>
  <si>
    <t>P-257/2025</t>
  </si>
  <si>
    <t>Pērnavas ielas (P17) asfalta dilumkārtas atjaunošana Rūjienā,  Valmieras novadā</t>
  </si>
  <si>
    <t>A2/1/25/266</t>
  </si>
  <si>
    <t>P-258/2025</t>
  </si>
  <si>
    <t>Ošu ielas pārbūve, Kocēnos, Kocēnu pagastā, Valmieras novadā</t>
  </si>
  <si>
    <t>20.07.2040.</t>
  </si>
  <si>
    <t>A2/1/25/267</t>
  </si>
  <si>
    <t>P-259/2025</t>
  </si>
  <si>
    <t>Valkas ielas (posmā no Raiņa ielas līdz Tērbatas ielai) asfalta dilumkārtas nomaiņa Valmierā, Valmieras novadā</t>
  </si>
  <si>
    <t>A2/1/25/268</t>
  </si>
  <si>
    <t>P-260/2025</t>
  </si>
  <si>
    <t>Gājēju ietves Pulkveža Brieža ielā (posmā no Beverīnas ielas līdz Smilšu ielai), Strenčos izbūve</t>
  </si>
  <si>
    <t>A2/1/25/269</t>
  </si>
  <si>
    <t>P-261/2025</t>
  </si>
  <si>
    <t>Pašvaldības autoceļa Burtnieki - Pintes (5,42 km) grants seguma atjaunošana Burtnieku pagastā</t>
  </si>
  <si>
    <t>24.09.2025.</t>
  </si>
  <si>
    <t>20.09.2035.</t>
  </si>
  <si>
    <t>A2/1/25/378</t>
  </si>
  <si>
    <t>P-358/2025</t>
  </si>
  <si>
    <t>Valmieras novada pašvaldības policijas operatīvo transportlīdzekļu iegāde</t>
  </si>
  <si>
    <t>20.09.2032.</t>
  </si>
  <si>
    <t>A2/1/25/376</t>
  </si>
  <si>
    <t>P-356/2025</t>
  </si>
  <si>
    <t>Rīgas ielas (P22) posmā no Pērnavas ielas līdz Rūjienas pilsētas robežai asfalta dilumkārtas atjaunošana, Rūjienā,  Valmieras novadā</t>
  </si>
  <si>
    <t>A2/1/25/379</t>
  </si>
  <si>
    <t>P-359/2025</t>
  </si>
  <si>
    <t>Rūjienas ielas (P21) asfalta dilumkārtas atjaunošana Mazsalacā, Valmieras novadā</t>
  </si>
  <si>
    <t>A2/1/25/377</t>
  </si>
  <si>
    <t>P-357/2025</t>
  </si>
  <si>
    <t>20.09.2040.</t>
  </si>
  <si>
    <t>A2/1/25/374</t>
  </si>
  <si>
    <t>P-354/2025</t>
  </si>
  <si>
    <t xml:space="preserve"> Prioritārais investiciju projekts "ERAF projekta "Industriālās teritorijas attīstība Valmieras valstspilsētā -3.kārta" ārpusprojekta izmaksas </t>
  </si>
  <si>
    <t>A2/1/25/375</t>
  </si>
  <si>
    <t>P-355/2025</t>
  </si>
  <si>
    <t>ERAF_SAM 5.1.1.3.projekts "Valmieras valstspilsētas Gaujas krasta promenāde"</t>
  </si>
  <si>
    <t>27.10.2025.</t>
  </si>
  <si>
    <t>20.10.2045.</t>
  </si>
  <si>
    <t>A2/1/25/411</t>
  </si>
  <si>
    <t>P-390/2025</t>
  </si>
  <si>
    <t xml:space="preserve">Prioritārais projekts "SAM 5.1.1.3.projekta "Valmieras valstspilsētas Gaujas krasta promenāde" ārpusprojekta izmaksas </t>
  </si>
  <si>
    <t>A2/1/25/410</t>
  </si>
  <si>
    <t>P-389/2025</t>
  </si>
  <si>
    <t>ERAF projekts "Mācību vides uzlabošana vispārējās izglītības iestādēs Valmieras novadā"</t>
  </si>
  <si>
    <t>24.11.2025.</t>
  </si>
  <si>
    <t>20.11.2050.</t>
  </si>
  <si>
    <t>A2/1/25/441</t>
  </si>
  <si>
    <t>P-415/2025</t>
  </si>
  <si>
    <t>Prioritārais projekts "ERAF projekta "Mācību vides uzlabošana vispārējās izglītības iestādēs Valmieras novadā" ārpusprojekta izmaksas</t>
  </si>
  <si>
    <t>A2/1/25/443</t>
  </si>
  <si>
    <t>P-416/2025</t>
  </si>
  <si>
    <t>LIAA projekts"Uzņēmējdarbības attīstības  veicināšana Valmieras novadā" ārpusprojekta izmaksas</t>
  </si>
  <si>
    <t>02.2046.</t>
  </si>
  <si>
    <t>A2/1/26/27</t>
  </si>
  <si>
    <t>P27/2026</t>
  </si>
  <si>
    <t>04.2046.</t>
  </si>
  <si>
    <t>A2/1/26/25</t>
  </si>
  <si>
    <t>P26/2026</t>
  </si>
  <si>
    <t>06.2026.</t>
  </si>
  <si>
    <t>07.2036.</t>
  </si>
  <si>
    <t>Projekti</t>
  </si>
  <si>
    <t>Upes ielas, Īsā ielas, Rūjienā, pārbūve</t>
  </si>
  <si>
    <t>Grants ielas, Valmierā pārbūve</t>
  </si>
  <si>
    <t>Matīšu šosejas dilumkārtas nomaiņa un luksofora izbūve krustojumā ar Ķieģeļu ielu, Valmierā</t>
  </si>
  <si>
    <t>08.2026.</t>
  </si>
  <si>
    <t>07.2041.</t>
  </si>
  <si>
    <t>x</t>
  </si>
  <si>
    <t xml:space="preserve">Valmieras novada pašvaldības aizņēmumi </t>
  </si>
  <si>
    <t>Kopā</t>
  </si>
  <si>
    <t>29.01.</t>
  </si>
  <si>
    <t>uz groz</t>
  </si>
  <si>
    <t>Aiznēmumi noslēgtie līgumi 179</t>
  </si>
  <si>
    <t>II. Galvojumi</t>
  </si>
  <si>
    <t xml:space="preserve">20.11.2018. </t>
  </si>
  <si>
    <t>A1/1/18/812</t>
  </si>
  <si>
    <t>Eiropas Savienības Kohēzijas fonda projektu īstenošanai / SIA Kocēnu komunālā saimniecība</t>
  </si>
  <si>
    <t>17.11.2015</t>
  </si>
  <si>
    <t>20.10.2035.</t>
  </si>
  <si>
    <t>A1/1/15/613</t>
  </si>
  <si>
    <t>ERAF projekta Nr.3.3.1.0/16/I/024 "Uzņemējdarbības attīstībai nepieciešamās infrastruktūras attīstība Kocēnu novada Kocēnu pagasta Kocēnos", īstenošanai</t>
  </si>
  <si>
    <t>09.11.2018</t>
  </si>
  <si>
    <t>20.10.2038.</t>
  </si>
  <si>
    <t>A1/1/18/760</t>
  </si>
  <si>
    <t>12.07.2019</t>
  </si>
  <si>
    <t>20.06.2039.</t>
  </si>
  <si>
    <t>A1/1/19/262; A1/1/19/263; A1/1/19/265</t>
  </si>
  <si>
    <t>Siltumavota efektivitātes uzlabošana katlu mājā Ausekļa ielā 5, Rūjienā</t>
  </si>
  <si>
    <t>02.07.2019</t>
  </si>
  <si>
    <t>A1/1/19/246</t>
  </si>
  <si>
    <t>SIA "Rūjienas siltums" aizņēmumam KF projekta Nr.5.3.1.0/17/I/026 īstenošanai</t>
  </si>
  <si>
    <t>A2/1/21/732;   K-20/2021</t>
  </si>
  <si>
    <t>Valmieras novada pašvaldības galvojumi</t>
  </si>
  <si>
    <t xml:space="preserve">Valmieras novada pašvaldības saistības  kopā </t>
  </si>
  <si>
    <t xml:space="preserve"> Saistību apjoms % </t>
  </si>
  <si>
    <t>no pamatbudžeta ieņēmumiem (bez mērķdotācijām un iemaksām PFIF) **</t>
  </si>
  <si>
    <t>noslēgtie līgumi</t>
  </si>
  <si>
    <t>24.03.2026.</t>
  </si>
  <si>
    <t>Valmieras novada pašvaldības domes saistošajiem noteikumiem Nr. 180</t>
  </si>
  <si>
    <t>"Grozījumi Valmieras novada pašvaldības domes 2006. gada 29. janvāra saistošajos noteikumos Nr. 170</t>
  </si>
  <si>
    <t>4. pielikums</t>
  </si>
  <si>
    <t>"Par Valmieras novada pašvaldības 2026. gada budžetu""</t>
  </si>
  <si>
    <t>Valmieras novada pašvaldības aizņēmumu, galvojumu un ilgtermiņa saistību apmērs 2026. gadā  un turpmākajos gados</t>
  </si>
  <si>
    <t>Informācijas, izglītības,sporta un sociālās aprūpes dienas centra "Kaimiņi" būvniecībai</t>
  </si>
  <si>
    <t>Informācijas, izglītības,sporta un sociālās aprūpes dienas centra "Kaimiņi" būvniecības pabeigšanai</t>
  </si>
  <si>
    <t>Latvijas-Šveices projekts Multifunkcionālā jaunatnes iniciatīvu centra izveide Burtniekos</t>
  </si>
  <si>
    <t>ERAF projekta Nr.8.1.2.0/18/I/004 daļas - Valmieras Viestura vidusskolas pārbūve, mācību vides uzlabošana īstenošanai</t>
  </si>
  <si>
    <t>Prioritārā investīciju projekta "Valtenberģu muižas jumta seguma maiņa Mazsalacā" īstenošanai P-631/2018</t>
  </si>
  <si>
    <t>Prioritārais investīciju projekts "Stāvlaukuma pārbūve Alejas ielā 8, Kocēnos, Kocēnu pagastā, Kocēnu novadā" īstenošanai</t>
  </si>
  <si>
    <t>KF projekta (Nr.6.1.4.2/17/I/007) "Valmieras pilsētas Rietumu industriālās maģistrāles attīstība - L.Paegles ielas savienojums ar TNT-T tīklu" īstenošanai</t>
  </si>
  <si>
    <t xml:space="preserve">Pašvaldības autoceļa "Rūjienas šoseja - Slaunes - Valkas šoseja" posma pārbūve (0.00 līdz 0.680 km </t>
  </si>
  <si>
    <t>"Divkārtu virsmas apstrāde autoceļu posmos "Mūrmuižas-Bāle-Brieži ceļš" un "Bāles stacija-Cēsu ceļš", Kauguru pagastā, Valmieras novadā</t>
  </si>
  <si>
    <t>ELFLA projekta (Nr.18-09-A00702-000106) "Pašvaldības grantētā ceļa "Jaunmakuļi - Zilaiskalns" pārbūve" īstenošanai</t>
  </si>
  <si>
    <t>Ceļa "Apvedceļš - Sapas" divkārtu virsmu apstrāde Kauguru pagastā, Valmieras novadā</t>
  </si>
  <si>
    <t xml:space="preserve">ERAF projekta "Pašvaldības pakalpojuma centra Valmieras ielā 13, Rencēnos energoefektivitātes paaugstināšana" </t>
  </si>
  <si>
    <t>ERAF SAM 4.2.2. projekta "Pašvaldības ēkas Vaidavā, Skolas ielā 1 energoefektivitātes uzlabošana"</t>
  </si>
  <si>
    <t>SAM 6.1.4. projekta "Dienvidu industriālās maģistrāles attīstība - L.Laicena iela līdz zemes vienībai "Vecais dzelzceļš" pārbūve/izbūve, Cēsu ielas pārbūve no zemes vien. "Vecais dzelzceļš" līdz Valmieras pilsētas robežai</t>
  </si>
  <si>
    <t>ERAF SAM 5.4.3. projekta "Antropogēnās slodzes samazināšana un kompleksu apsaimniekošanas pasākumu īstenošana dabas liegumā "Zilaiskalns""</t>
  </si>
  <si>
    <t>Autoceļa "Doktorāts – Silavas" asfaltseguma atjaunošana Naukšēnos, Naukšēnu pagastā, Valmieras novadā</t>
  </si>
  <si>
    <t xml:space="preserve">ERAF projekta (Nr.9.3.1.1/18/I/027) "Sabiedrības balstītu sociālo pakalpojumu infrastruktūras izveide Mazsalacas novadā" īstenošanai </t>
  </si>
  <si>
    <t>Investīciju projektu īstenošanai (saistību pārjaunojums - Kocēnu novada aizņēmumiem)</t>
  </si>
  <si>
    <t>PSIA "Banga KPU" pamatkapitāla palielināšanai prioritārā investīciju projekta "Objekta "Ūdensapgādes un kanalizācijas tīkli R.Dārziņa, Lielajā, Dzirnavu, Aurupītes ielās, Mazsalacā, Mazsalacas novadā, 2. līdz 7. kārtas" būvniecība" īstenošanai</t>
  </si>
  <si>
    <t>Prioritārā investīciju projekta "Rūjienas pirmsskolas izglītības iestādes "Vārpiņa" teritroijas labiekārtošanas darbu 4.kārtas un 5.kārtas realizēšanas" īstenošanai</t>
  </si>
  <si>
    <t>Satiksmes drošības uzlabošana Pulkveža Zemitāna ielā Strenčos (posmā no 0,005 km līdz krustojumam ar Miera ielu)</t>
  </si>
  <si>
    <t>ERAF projekta "Industriālo teritoriju attīstība Valmierā - 1.kārta" SAM 5.6.2. ar komercdarbības atbalstu</t>
  </si>
  <si>
    <t>ERAF projekta "Industriālo teritoriju attīstība Valmierā - 1.kārta" - SAM 5.6.2.</t>
  </si>
  <si>
    <t xml:space="preserve">Dienesta viesnīcas Ausekļa ielā energoefektivitātes paaugstināšana un pārbūve - 2.kārta, SAM 4.2.2.  </t>
  </si>
  <si>
    <t>Ķieģeļu ielas, Valmierā, izbūvei posmā no Dzegu ielas līdz Parka ielai</t>
  </si>
  <si>
    <t>ANMP projekts Valmieras Industriālās parka attīstība  /ar riska procenta likmi/</t>
  </si>
  <si>
    <t>ERAF prjekts Industriālās teritorijas attīstība Valmieras valstspilsētā - 3.kārta /5.1.1.1/2/24/A/003</t>
  </si>
  <si>
    <t>ERAf projekts "Industriālās teritorijas attīstība Valmieras valstspilsētā - 4.kārta"</t>
  </si>
  <si>
    <t>Pērnavas ielas, Mazsalacā, pārbūve</t>
  </si>
  <si>
    <t>Jāņa Endzelīna ielas, Valmierā, pārbūve</t>
  </si>
  <si>
    <t>Pāvila Rozīša ielas, Valmierā, pārbūve</t>
  </si>
  <si>
    <t>Projekta "Cietā kurināmā apkures katla ar granulu degli piegāde un uzstādīšana Burtnieku ciema un Burtnieku skolas katlu mājās / SIA Kocēnu komunālā saimniecība" (no 28.12.2022.)</t>
  </si>
  <si>
    <t>Valmieras valsts ģimnāzijas mācību vides uzlabošana un dienesta viesnīcas Ausekļa ielā pārbūve 2.kārta, SAM 8.1.2.</t>
  </si>
  <si>
    <t xml:space="preserve">Ielu un ietvju atjaunošana Skolas iela (posmā no Dārza līdz Viestura ielai, Viestura iela (posmā no Skolas līdz Lāčplēša ielai), Stacijas iela (posmā no Skolas līdz Viestura ielai), Rūjienā </t>
  </si>
  <si>
    <t>Rūjienas vidusskolas ēkas vienkāršota pārbūve, Rīgas ielā 30, Rūjienā, Valmieras novadā</t>
  </si>
  <si>
    <t>ELFLA projekta (Nr.17-09-AL20-A019.2202-000012) "Tūrisma, izziņas, novadpētniecības veicināšana Kocēnu novada Zilākalna ciemā" īstenošanai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</si>
</sst>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i/>
      <sz val="10"/>
      <name val="Arial"/>
      <family val="2"/>
      <charset val="186"/>
    </font>
    <font>
      <i/>
      <sz val="9"/>
      <name val="Arial"/>
      <family val="2"/>
      <charset val="186"/>
    </font>
    <font>
      <sz val="9.5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indexed="8"/>
      <name val="Tahoma"/>
      <family val="2"/>
      <charset val="186"/>
    </font>
    <font>
      <sz val="9"/>
      <name val="Arial"/>
      <family val="2"/>
      <charset val="186"/>
    </font>
    <font>
      <i/>
      <sz val="8"/>
      <color rgb="FFC00000"/>
      <name val="Arial"/>
      <family val="2"/>
      <charset val="186"/>
    </font>
    <font>
      <b/>
      <sz val="1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rgb="FF007BB8"/>
      <name val="Arial"/>
      <family val="2"/>
      <charset val="186"/>
    </font>
    <font>
      <sz val="9"/>
      <color rgb="FF007BB8"/>
      <name val="Arial"/>
      <family val="2"/>
      <charset val="186"/>
    </font>
    <font>
      <sz val="9"/>
      <color rgb="FF00B050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6FBF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0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3" fontId="0" fillId="0" borderId="2" xfId="0" applyNumberFormat="1" applyBorder="1" applyAlignment="1">
      <alignment vertical="center" wrapText="1"/>
    </xf>
    <xf numFmtId="0" fontId="1" fillId="0" borderId="3" xfId="0" applyFont="1" applyBorder="1"/>
    <xf numFmtId="3" fontId="0" fillId="0" borderId="3" xfId="0" applyNumberFormat="1" applyBorder="1" applyAlignment="1">
      <alignment vertical="center" wrapText="1"/>
    </xf>
    <xf numFmtId="14" fontId="1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3" fontId="0" fillId="3" borderId="3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9" fillId="4" borderId="2" xfId="0" applyNumberFormat="1" applyFont="1" applyFill="1" applyBorder="1" applyAlignment="1">
      <alignment horizontal="left" vertical="top" wrapText="1"/>
    </xf>
    <xf numFmtId="14" fontId="1" fillId="0" borderId="5" xfId="0" applyNumberFormat="1" applyFon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3" fontId="0" fillId="3" borderId="2" xfId="0" applyNumberForma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horizontal="left" vertical="top" wrapText="1"/>
    </xf>
    <xf numFmtId="3" fontId="1" fillId="3" borderId="3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0" fillId="0" borderId="0" xfId="0" applyNumberFormat="1" applyFont="1"/>
    <xf numFmtId="3" fontId="11" fillId="0" borderId="0" xfId="0" applyNumberFormat="1" applyFont="1"/>
    <xf numFmtId="3" fontId="0" fillId="0" borderId="7" xfId="0" applyNumberFormat="1" applyBorder="1" applyAlignment="1">
      <alignment vertical="center" wrapText="1"/>
    </xf>
    <xf numFmtId="0" fontId="13" fillId="0" borderId="0" xfId="0" applyFont="1"/>
    <xf numFmtId="3" fontId="1" fillId="0" borderId="3" xfId="0" applyNumberFormat="1" applyFont="1" applyBorder="1"/>
    <xf numFmtId="3" fontId="0" fillId="0" borderId="3" xfId="0" applyNumberFormat="1" applyBorder="1"/>
    <xf numFmtId="0" fontId="1" fillId="0" borderId="4" xfId="0" applyFont="1" applyBorder="1"/>
    <xf numFmtId="3" fontId="0" fillId="0" borderId="2" xfId="0" applyNumberFormat="1" applyBorder="1"/>
    <xf numFmtId="3" fontId="1" fillId="0" borderId="2" xfId="0" applyNumberFormat="1" applyFont="1" applyBorder="1"/>
    <xf numFmtId="0" fontId="10" fillId="0" borderId="2" xfId="0" applyFont="1" applyBorder="1"/>
    <xf numFmtId="14" fontId="10" fillId="0" borderId="4" xfId="0" applyNumberFormat="1" applyFont="1" applyBorder="1" applyAlignment="1">
      <alignment vertical="center" wrapText="1"/>
    </xf>
    <xf numFmtId="0" fontId="10" fillId="0" borderId="3" xfId="0" applyFont="1" applyBorder="1"/>
    <xf numFmtId="3" fontId="1" fillId="0" borderId="5" xfId="0" applyNumberFormat="1" applyFont="1" applyBorder="1" applyAlignment="1">
      <alignment vertical="center" wrapText="1"/>
    </xf>
    <xf numFmtId="3" fontId="1" fillId="3" borderId="3" xfId="0" applyNumberFormat="1" applyFont="1" applyFill="1" applyBorder="1"/>
    <xf numFmtId="3" fontId="1" fillId="0" borderId="6" xfId="0" applyNumberFormat="1" applyFont="1" applyBorder="1"/>
    <xf numFmtId="3" fontId="1" fillId="0" borderId="7" xfId="0" applyNumberFormat="1" applyFont="1" applyBorder="1" applyAlignment="1">
      <alignment vertical="center" wrapText="1"/>
    </xf>
    <xf numFmtId="3" fontId="1" fillId="3" borderId="2" xfId="0" applyNumberFormat="1" applyFont="1" applyFill="1" applyBorder="1"/>
    <xf numFmtId="3" fontId="1" fillId="0" borderId="5" xfId="0" applyNumberFormat="1" applyFont="1" applyBorder="1"/>
    <xf numFmtId="3" fontId="1" fillId="6" borderId="2" xfId="0" applyNumberFormat="1" applyFont="1" applyFill="1" applyBorder="1"/>
    <xf numFmtId="0" fontId="7" fillId="3" borderId="0" xfId="0" applyFont="1" applyFill="1"/>
    <xf numFmtId="3" fontId="1" fillId="6" borderId="3" xfId="0" applyNumberFormat="1" applyFont="1" applyFill="1" applyBorder="1"/>
    <xf numFmtId="0" fontId="10" fillId="3" borderId="2" xfId="0" applyFont="1" applyFill="1" applyBorder="1"/>
    <xf numFmtId="3" fontId="1" fillId="3" borderId="2" xfId="0" applyNumberFormat="1" applyFont="1" applyFill="1" applyBorder="1" applyAlignment="1">
      <alignment vertical="center" wrapText="1"/>
    </xf>
    <xf numFmtId="0" fontId="1" fillId="3" borderId="4" xfId="0" applyFont="1" applyFill="1" applyBorder="1"/>
    <xf numFmtId="14" fontId="1" fillId="3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 wrapText="1"/>
    </xf>
    <xf numFmtId="3" fontId="0" fillId="3" borderId="5" xfId="0" applyNumberForma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 wrapText="1"/>
    </xf>
    <xf numFmtId="3" fontId="10" fillId="0" borderId="8" xfId="0" applyNumberFormat="1" applyFont="1" applyBorder="1"/>
    <xf numFmtId="3" fontId="10" fillId="0" borderId="2" xfId="0" applyNumberFormat="1" applyFont="1" applyBorder="1"/>
    <xf numFmtId="3" fontId="10" fillId="0" borderId="2" xfId="0" applyNumberFormat="1" applyFont="1" applyBorder="1" applyAlignment="1">
      <alignment vertical="center" wrapText="1"/>
    </xf>
    <xf numFmtId="0" fontId="10" fillId="0" borderId="4" xfId="0" applyFont="1" applyBorder="1"/>
    <xf numFmtId="3" fontId="10" fillId="0" borderId="3" xfId="0" applyNumberFormat="1" applyFont="1" applyBorder="1"/>
    <xf numFmtId="3" fontId="10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3" fontId="16" fillId="0" borderId="5" xfId="0" applyNumberFormat="1" applyFont="1" applyBorder="1"/>
    <xf numFmtId="0" fontId="16" fillId="0" borderId="0" xfId="0" applyFont="1"/>
    <xf numFmtId="0" fontId="4" fillId="0" borderId="2" xfId="0" applyFont="1" applyBorder="1"/>
    <xf numFmtId="3" fontId="18" fillId="0" borderId="2" xfId="0" applyNumberFormat="1" applyFont="1" applyBorder="1"/>
    <xf numFmtId="3" fontId="0" fillId="0" borderId="0" xfId="0" applyNumberFormat="1"/>
    <xf numFmtId="0" fontId="4" fillId="0" borderId="3" xfId="0" applyFont="1" applyBorder="1"/>
    <xf numFmtId="3" fontId="18" fillId="0" borderId="3" xfId="0" applyNumberFormat="1" applyFont="1" applyBorder="1"/>
    <xf numFmtId="14" fontId="4" fillId="0" borderId="4" xfId="0" applyNumberFormat="1" applyFont="1" applyBorder="1" applyAlignment="1">
      <alignment vertical="center" wrapText="1"/>
    </xf>
    <xf numFmtId="3" fontId="18" fillId="0" borderId="7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vertical="center" wrapText="1"/>
    </xf>
    <xf numFmtId="3" fontId="19" fillId="0" borderId="0" xfId="0" applyNumberFormat="1" applyFont="1"/>
    <xf numFmtId="3" fontId="4" fillId="0" borderId="0" xfId="0" applyNumberFormat="1" applyFont="1"/>
    <xf numFmtId="14" fontId="20" fillId="0" borderId="0" xfId="0" applyNumberFormat="1" applyFont="1" applyAlignment="1">
      <alignment vertical="center" wrapText="1"/>
    </xf>
    <xf numFmtId="3" fontId="19" fillId="7" borderId="0" xfId="0" applyNumberFormat="1" applyFont="1" applyFill="1"/>
    <xf numFmtId="3" fontId="21" fillId="0" borderId="0" xfId="0" applyNumberFormat="1" applyFont="1"/>
    <xf numFmtId="0" fontId="22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vertical="center" wrapText="1"/>
    </xf>
    <xf numFmtId="3" fontId="21" fillId="7" borderId="0" xfId="0" applyNumberFormat="1" applyFont="1" applyFill="1"/>
    <xf numFmtId="3" fontId="23" fillId="0" borderId="0" xfId="0" applyNumberFormat="1" applyFont="1"/>
    <xf numFmtId="0" fontId="4" fillId="8" borderId="0" xfId="0" applyFont="1" applyFill="1" applyAlignment="1">
      <alignment horizontal="right" vertical="center" wrapText="1"/>
    </xf>
    <xf numFmtId="0" fontId="0" fillId="8" borderId="0" xfId="0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14" fontId="15" fillId="8" borderId="0" xfId="0" applyNumberFormat="1" applyFont="1" applyFill="1" applyAlignment="1">
      <alignment horizontal="left" vertical="center" wrapText="1"/>
    </xf>
    <xf numFmtId="3" fontId="0" fillId="8" borderId="0" xfId="0" applyNumberFormat="1" applyFill="1"/>
    <xf numFmtId="0" fontId="1" fillId="8" borderId="0" xfId="0" applyFont="1" applyFill="1" applyAlignment="1">
      <alignment horizontal="left" vertical="center" wrapText="1"/>
    </xf>
    <xf numFmtId="0" fontId="0" fillId="8" borderId="0" xfId="0" applyFill="1"/>
    <xf numFmtId="0" fontId="1" fillId="8" borderId="0" xfId="0" applyFont="1" applyFill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3" fontId="1" fillId="0" borderId="10" xfId="1" applyNumberFormat="1" applyBorder="1" applyAlignment="1" applyProtection="1">
      <alignment horizontal="right" vertical="center"/>
      <protection locked="0"/>
    </xf>
    <xf numFmtId="3" fontId="1" fillId="3" borderId="10" xfId="1" applyNumberFormat="1" applyFill="1" applyBorder="1" applyAlignment="1" applyProtection="1">
      <alignment horizontal="right" vertical="center"/>
      <protection locked="0"/>
    </xf>
    <xf numFmtId="3" fontId="1" fillId="0" borderId="0" xfId="1" applyNumberFormat="1" applyAlignment="1" applyProtection="1">
      <alignment horizontal="center" vertical="center"/>
      <protection locked="0"/>
    </xf>
    <xf numFmtId="3" fontId="1" fillId="0" borderId="5" xfId="1" applyNumberFormat="1" applyBorder="1" applyAlignment="1" applyProtection="1">
      <alignment horizontal="center" vertical="center"/>
      <protection locked="0"/>
    </xf>
    <xf numFmtId="3" fontId="4" fillId="0" borderId="11" xfId="0" applyNumberFormat="1" applyFont="1" applyBorder="1" applyAlignment="1">
      <alignment horizontal="right" vertical="center"/>
    </xf>
    <xf numFmtId="3" fontId="1" fillId="0" borderId="3" xfId="1" applyNumberFormat="1" applyBorder="1" applyAlignment="1" applyProtection="1">
      <alignment horizontal="right" vertical="center"/>
      <protection locked="0"/>
    </xf>
    <xf numFmtId="3" fontId="1" fillId="3" borderId="3" xfId="1" applyNumberFormat="1" applyFill="1" applyBorder="1" applyAlignment="1" applyProtection="1">
      <alignment horizontal="right" vertical="center"/>
      <protection locked="0"/>
    </xf>
    <xf numFmtId="3" fontId="1" fillId="0" borderId="3" xfId="1" applyNumberForma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3" fontId="1" fillId="0" borderId="7" xfId="1" applyNumberFormat="1" applyBorder="1" applyAlignment="1" applyProtection="1">
      <alignment horizontal="right" vertical="center"/>
      <protection locked="0"/>
    </xf>
    <xf numFmtId="3" fontId="1" fillId="0" borderId="7" xfId="1" applyNumberFormat="1" applyBorder="1" applyAlignment="1" applyProtection="1">
      <alignment horizontal="center" vertical="center"/>
      <protection locked="0"/>
    </xf>
    <xf numFmtId="3" fontId="4" fillId="0" borderId="7" xfId="0" applyNumberFormat="1" applyFont="1" applyBorder="1" applyAlignment="1">
      <alignment horizontal="right" vertical="center"/>
    </xf>
    <xf numFmtId="3" fontId="1" fillId="0" borderId="2" xfId="1" applyNumberFormat="1" applyBorder="1" applyAlignment="1" applyProtection="1">
      <alignment horizontal="right" vertical="center"/>
      <protection locked="0"/>
    </xf>
    <xf numFmtId="3" fontId="1" fillId="0" borderId="13" xfId="1" applyNumberFormat="1" applyBorder="1" applyAlignment="1" applyProtection="1">
      <alignment horizontal="right" vertical="center"/>
      <protection locked="0"/>
    </xf>
    <xf numFmtId="3" fontId="0" fillId="0" borderId="13" xfId="0" applyNumberForma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 wrapText="1"/>
    </xf>
    <xf numFmtId="0" fontId="1" fillId="0" borderId="1" xfId="0" applyFont="1" applyBorder="1"/>
    <xf numFmtId="3" fontId="4" fillId="0" borderId="1" xfId="1" applyNumberFormat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3" fontId="4" fillId="0" borderId="1" xfId="0" applyNumberFormat="1" applyFont="1" applyBorder="1"/>
    <xf numFmtId="2" fontId="1" fillId="0" borderId="1" xfId="0" applyNumberFormat="1" applyFont="1" applyBorder="1"/>
    <xf numFmtId="3" fontId="4" fillId="9" borderId="1" xfId="0" applyNumberFormat="1" applyFont="1" applyFill="1" applyBorder="1"/>
    <xf numFmtId="0" fontId="25" fillId="3" borderId="0" xfId="0" applyFont="1" applyFill="1" applyAlignment="1">
      <alignment wrapText="1"/>
    </xf>
    <xf numFmtId="0" fontId="10" fillId="8" borderId="0" xfId="0" applyFont="1" applyFill="1"/>
    <xf numFmtId="2" fontId="10" fillId="8" borderId="0" xfId="0" applyNumberFormat="1" applyFont="1" applyFill="1"/>
    <xf numFmtId="0" fontId="10" fillId="0" borderId="0" xfId="0" applyFont="1"/>
    <xf numFmtId="2" fontId="10" fillId="0" borderId="0" xfId="0" applyNumberFormat="1" applyFont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" fillId="3" borderId="1" xfId="1" applyNumberForma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2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49" fontId="1" fillId="0" borderId="2" xfId="1" applyNumberFormat="1" applyBorder="1" applyAlignment="1" applyProtection="1">
      <alignment horizontal="left" vertical="center" wrapText="1"/>
      <protection locked="0"/>
    </xf>
    <xf numFmtId="49" fontId="1" fillId="0" borderId="5" xfId="1" applyNumberFormat="1" applyBorder="1" applyAlignment="1" applyProtection="1">
      <alignment horizontal="left" vertical="center" wrapText="1"/>
      <protection locked="0"/>
    </xf>
    <xf numFmtId="49" fontId="1" fillId="0" borderId="4" xfId="1" applyNumberFormat="1" applyBorder="1" applyAlignment="1" applyProtection="1">
      <alignment horizontal="left" vertical="center" wrapText="1"/>
      <protection locked="0"/>
    </xf>
    <xf numFmtId="49" fontId="1" fillId="0" borderId="2" xfId="1" applyNumberFormat="1" applyBorder="1" applyAlignment="1" applyProtection="1">
      <alignment horizontal="center" vertical="center" wrapText="1"/>
      <protection locked="0"/>
    </xf>
    <xf numFmtId="49" fontId="1" fillId="0" borderId="5" xfId="1" applyNumberFormat="1" applyBorder="1" applyAlignment="1" applyProtection="1">
      <alignment horizontal="center" vertical="center" wrapText="1"/>
      <protection locked="0"/>
    </xf>
    <xf numFmtId="49" fontId="1" fillId="0" borderId="4" xfId="1" applyNumberFormat="1" applyBorder="1" applyAlignment="1" applyProtection="1">
      <alignment horizontal="center" vertical="center" wrapText="1"/>
      <protection locked="0"/>
    </xf>
    <xf numFmtId="14" fontId="1" fillId="3" borderId="2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left"/>
    </xf>
    <xf numFmtId="0" fontId="17" fillId="0" borderId="0" xfId="0" applyFont="1" applyAlignment="1">
      <alignment horizontal="left"/>
    </xf>
    <xf numFmtId="49" fontId="15" fillId="0" borderId="9" xfId="1" applyNumberFormat="1" applyFont="1" applyBorder="1" applyAlignment="1" applyProtection="1">
      <alignment horizontal="left" vertical="center" wrapText="1"/>
      <protection locked="0"/>
    </xf>
    <xf numFmtId="49" fontId="15" fillId="0" borderId="8" xfId="1" applyNumberFormat="1" applyFont="1" applyBorder="1" applyAlignment="1" applyProtection="1">
      <alignment horizontal="left" vertical="center" wrapText="1"/>
      <protection locked="0"/>
    </xf>
    <xf numFmtId="49" fontId="15" fillId="0" borderId="12" xfId="1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12" fillId="0" borderId="2" xfId="1" applyNumberFormat="1" applyFont="1" applyBorder="1" applyAlignment="1" applyProtection="1">
      <alignment horizontal="left" vertical="center" wrapText="1"/>
      <protection locked="0"/>
    </xf>
    <xf numFmtId="49" fontId="12" fillId="0" borderId="5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" fillId="3" borderId="2" xfId="1" applyNumberFormat="1" applyFill="1" applyBorder="1" applyAlignment="1" applyProtection="1">
      <alignment horizontal="left" vertical="center" wrapText="1"/>
      <protection locked="0"/>
    </xf>
    <xf numFmtId="49" fontId="1" fillId="3" borderId="5" xfId="1" applyNumberFormat="1" applyFill="1" applyBorder="1" applyAlignment="1" applyProtection="1">
      <alignment horizontal="left" vertical="center" wrapText="1"/>
      <protection locked="0"/>
    </xf>
    <xf numFmtId="49" fontId="1" fillId="3" borderId="4" xfId="1" applyNumberForma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24" fillId="0" borderId="14" xfId="0" applyFont="1" applyBorder="1" applyAlignment="1">
      <alignment horizontal="left" wrapText="1"/>
    </xf>
    <xf numFmtId="0" fontId="24" fillId="0" borderId="15" xfId="0" applyFont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0" fontId="25" fillId="7" borderId="1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3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3">
    <cellStyle name="Normal" xfId="0" builtinId="0"/>
    <cellStyle name="Normal 2 2 2 2" xfId="2"/>
    <cellStyle name="Normal_Pamatform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21"/>
  <sheetViews>
    <sheetView tabSelected="1" topLeftCell="A594" zoomScale="91" zoomScaleNormal="91" workbookViewId="0">
      <selection activeCell="F487" sqref="A487:XFD487"/>
    </sheetView>
  </sheetViews>
  <sheetFormatPr defaultRowHeight="15" outlineLevelRow="1" outlineLevelCol="1" x14ac:dyDescent="0.25"/>
  <cols>
    <col min="1" max="1" width="6.42578125" customWidth="1"/>
    <col min="2" max="2" width="10.85546875" customWidth="1"/>
    <col min="3" max="3" width="45.28515625" customWidth="1"/>
    <col min="4" max="4" width="12.140625" customWidth="1"/>
    <col min="5" max="5" width="11.7109375" customWidth="1"/>
    <col min="6" max="6" width="13" style="1" customWidth="1"/>
    <col min="7" max="7" width="13.5703125" customWidth="1"/>
    <col min="8" max="9" width="11" customWidth="1" outlineLevel="1"/>
    <col min="10" max="10" width="10.85546875" customWidth="1" outlineLevel="1"/>
    <col min="11" max="13" width="11.140625" customWidth="1" outlineLevel="1"/>
    <col min="14" max="14" width="10.85546875" customWidth="1" outlineLevel="1"/>
    <col min="15" max="15" width="12.140625" customWidth="1" outlineLevel="1"/>
    <col min="16" max="16" width="11.85546875" customWidth="1"/>
    <col min="17" max="17" width="10.42578125" customWidth="1"/>
    <col min="18" max="18" width="10.28515625" customWidth="1"/>
    <col min="19" max="19" width="9.7109375" customWidth="1"/>
    <col min="20" max="20" width="9.42578125" customWidth="1"/>
  </cols>
  <sheetData>
    <row r="1" spans="1:16" x14ac:dyDescent="0.25">
      <c r="H1" s="131" t="s">
        <v>708</v>
      </c>
      <c r="I1" s="131"/>
      <c r="J1" s="131"/>
      <c r="K1" s="131"/>
      <c r="L1" s="131"/>
      <c r="M1" s="131"/>
      <c r="N1" s="131"/>
      <c r="O1" s="131"/>
      <c r="P1" s="131"/>
    </row>
    <row r="2" spans="1:16" x14ac:dyDescent="0.25">
      <c r="H2" s="131" t="s">
        <v>706</v>
      </c>
      <c r="I2" s="131"/>
      <c r="J2" s="131"/>
      <c r="K2" s="131"/>
      <c r="L2" s="131"/>
      <c r="M2" s="131"/>
      <c r="N2" s="131"/>
      <c r="O2" s="131"/>
      <c r="P2" s="131"/>
    </row>
    <row r="3" spans="1:16" x14ac:dyDescent="0.25">
      <c r="H3" s="131" t="s">
        <v>707</v>
      </c>
      <c r="I3" s="131"/>
      <c r="J3" s="131"/>
      <c r="K3" s="131"/>
      <c r="L3" s="131"/>
      <c r="M3" s="131"/>
      <c r="N3" s="131"/>
      <c r="O3" s="131"/>
      <c r="P3" s="131"/>
    </row>
    <row r="4" spans="1:16" x14ac:dyDescent="0.25">
      <c r="H4" s="131" t="s">
        <v>709</v>
      </c>
      <c r="I4" s="131"/>
      <c r="J4" s="131"/>
      <c r="K4" s="131"/>
      <c r="L4" s="131"/>
      <c r="M4" s="131"/>
      <c r="N4" s="131"/>
      <c r="O4" s="131"/>
      <c r="P4" s="131"/>
    </row>
    <row r="5" spans="1:16" x14ac:dyDescent="0.25">
      <c r="H5" s="2"/>
    </row>
    <row r="6" spans="1:16" ht="15.75" x14ac:dyDescent="0.25">
      <c r="C6" s="132" t="s">
        <v>710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ht="13.5" customHeight="1" x14ac:dyDescent="0.25"/>
    <row r="8" spans="1:16" ht="42.6" customHeight="1" x14ac:dyDescent="0.25">
      <c r="A8" s="3"/>
      <c r="B8" s="4" t="s">
        <v>0</v>
      </c>
      <c r="C8" s="4" t="s">
        <v>1</v>
      </c>
      <c r="D8" s="4" t="s">
        <v>2</v>
      </c>
      <c r="E8" s="5" t="s">
        <v>3</v>
      </c>
      <c r="F8" s="4" t="s">
        <v>4</v>
      </c>
      <c r="G8" s="4"/>
      <c r="H8" s="6">
        <v>2026</v>
      </c>
      <c r="I8" s="6">
        <v>2027</v>
      </c>
      <c r="J8" s="6">
        <v>2028</v>
      </c>
      <c r="K8" s="6">
        <v>2029</v>
      </c>
      <c r="L8" s="6">
        <v>2030</v>
      </c>
      <c r="M8" s="6">
        <v>2031</v>
      </c>
      <c r="N8" s="6">
        <v>2032</v>
      </c>
      <c r="O8" s="7" t="s">
        <v>5</v>
      </c>
      <c r="P8" s="6" t="s">
        <v>6</v>
      </c>
    </row>
    <row r="9" spans="1:16" ht="12.6" customHeight="1" x14ac:dyDescent="0.25">
      <c r="A9" s="8">
        <v>1</v>
      </c>
      <c r="B9" s="9">
        <v>2</v>
      </c>
      <c r="C9" s="9">
        <v>3</v>
      </c>
      <c r="D9" s="9">
        <v>4</v>
      </c>
      <c r="E9" s="10" t="s">
        <v>7</v>
      </c>
      <c r="F9" s="9">
        <v>6</v>
      </c>
      <c r="G9" s="11">
        <v>7</v>
      </c>
      <c r="H9" s="11">
        <v>9</v>
      </c>
      <c r="I9" s="11">
        <v>10</v>
      </c>
      <c r="J9" s="11">
        <v>11</v>
      </c>
      <c r="K9" s="11">
        <v>12</v>
      </c>
      <c r="L9" s="11">
        <v>13</v>
      </c>
      <c r="M9" s="11">
        <v>14</v>
      </c>
      <c r="N9" s="11">
        <v>15</v>
      </c>
      <c r="O9" s="11">
        <v>16</v>
      </c>
      <c r="P9" s="11">
        <v>17</v>
      </c>
    </row>
    <row r="10" spans="1:16" ht="18" customHeight="1" x14ac:dyDescent="0.25">
      <c r="A10" s="133">
        <v>1</v>
      </c>
      <c r="B10" s="134" t="s">
        <v>8</v>
      </c>
      <c r="C10" s="135" t="s">
        <v>9</v>
      </c>
      <c r="D10" s="136">
        <v>36607</v>
      </c>
      <c r="E10" s="136" t="s">
        <v>10</v>
      </c>
      <c r="F10" s="137" t="s">
        <v>11</v>
      </c>
      <c r="G10" s="12" t="s">
        <v>12</v>
      </c>
      <c r="H10" s="13">
        <v>68349</v>
      </c>
      <c r="I10" s="13">
        <v>68349</v>
      </c>
      <c r="J10" s="13">
        <v>68349</v>
      </c>
      <c r="K10" s="13">
        <v>68349</v>
      </c>
      <c r="L10" s="13">
        <v>68349</v>
      </c>
      <c r="M10" s="13">
        <v>68349</v>
      </c>
      <c r="N10" s="13">
        <v>68349</v>
      </c>
      <c r="O10" s="13">
        <f>468779-68349-68349-68349-68349</f>
        <v>195383</v>
      </c>
      <c r="P10" s="13">
        <f t="shared" ref="P10:P73" si="0">SUM(H10:O10)</f>
        <v>673826</v>
      </c>
    </row>
    <row r="11" spans="1:16" ht="15.75" customHeight="1" x14ac:dyDescent="0.25">
      <c r="A11" s="133"/>
      <c r="B11" s="134"/>
      <c r="C11" s="135"/>
      <c r="D11" s="136"/>
      <c r="E11" s="136"/>
      <c r="F11" s="137"/>
      <c r="G11" s="14" t="s">
        <v>13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f t="shared" si="0"/>
        <v>0</v>
      </c>
    </row>
    <row r="12" spans="1:16" ht="15.75" customHeight="1" x14ac:dyDescent="0.25">
      <c r="A12" s="133"/>
      <c r="B12" s="134"/>
      <c r="C12" s="135"/>
      <c r="D12" s="136"/>
      <c r="E12" s="136"/>
      <c r="F12" s="137"/>
      <c r="G12" s="16" t="s">
        <v>14</v>
      </c>
      <c r="H12" s="17">
        <f t="shared" ref="H12:O12" si="1">SUM(H10:H11)</f>
        <v>68349</v>
      </c>
      <c r="I12" s="17">
        <f t="shared" si="1"/>
        <v>68349</v>
      </c>
      <c r="J12" s="17">
        <f t="shared" si="1"/>
        <v>68349</v>
      </c>
      <c r="K12" s="17">
        <f t="shared" si="1"/>
        <v>68349</v>
      </c>
      <c r="L12" s="17">
        <f t="shared" si="1"/>
        <v>68349</v>
      </c>
      <c r="M12" s="17">
        <f t="shared" si="1"/>
        <v>68349</v>
      </c>
      <c r="N12" s="17">
        <f t="shared" si="1"/>
        <v>68349</v>
      </c>
      <c r="O12" s="17">
        <f t="shared" si="1"/>
        <v>195383</v>
      </c>
      <c r="P12" s="18">
        <f t="shared" si="0"/>
        <v>673826</v>
      </c>
    </row>
    <row r="13" spans="1:16" ht="18.75" customHeight="1" x14ac:dyDescent="0.25">
      <c r="A13" s="133">
        <f>A10+1</f>
        <v>2</v>
      </c>
      <c r="B13" s="134" t="s">
        <v>8</v>
      </c>
      <c r="C13" s="135" t="s">
        <v>15</v>
      </c>
      <c r="D13" s="138">
        <v>39191</v>
      </c>
      <c r="E13" s="141" t="s">
        <v>16</v>
      </c>
      <c r="F13" s="19" t="s">
        <v>17</v>
      </c>
      <c r="G13" s="12" t="s">
        <v>12</v>
      </c>
      <c r="H13" s="13">
        <v>8488</v>
      </c>
      <c r="I13" s="13">
        <v>2116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20">
        <v>0</v>
      </c>
      <c r="P13" s="13">
        <f t="shared" si="0"/>
        <v>10604</v>
      </c>
    </row>
    <row r="14" spans="1:16" ht="15.75" customHeight="1" x14ac:dyDescent="0.25">
      <c r="A14" s="133"/>
      <c r="B14" s="134"/>
      <c r="C14" s="135"/>
      <c r="D14" s="139"/>
      <c r="E14" s="142"/>
      <c r="F14" s="21" t="s">
        <v>18</v>
      </c>
      <c r="G14" s="14" t="s">
        <v>13</v>
      </c>
      <c r="H14" s="22">
        <f>205+24</f>
        <v>229</v>
      </c>
      <c r="I14" s="22">
        <f>32+4</f>
        <v>36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23">
        <v>0</v>
      </c>
      <c r="P14" s="15">
        <f t="shared" si="0"/>
        <v>265</v>
      </c>
    </row>
    <row r="15" spans="1:16" ht="15.75" customHeight="1" x14ac:dyDescent="0.25">
      <c r="A15" s="133"/>
      <c r="B15" s="134"/>
      <c r="C15" s="135"/>
      <c r="D15" s="140"/>
      <c r="E15" s="143"/>
      <c r="F15" s="16"/>
      <c r="G15" s="16" t="s">
        <v>14</v>
      </c>
      <c r="H15" s="17">
        <f t="shared" ref="H15:O15" si="2">SUM(H13:H14)</f>
        <v>8717</v>
      </c>
      <c r="I15" s="17">
        <f t="shared" si="2"/>
        <v>2152</v>
      </c>
      <c r="J15" s="17">
        <f t="shared" si="2"/>
        <v>0</v>
      </c>
      <c r="K15" s="17">
        <f>SUM(K13:K14)</f>
        <v>0</v>
      </c>
      <c r="L15" s="17">
        <f>SUM(L13:L14)</f>
        <v>0</v>
      </c>
      <c r="M15" s="17">
        <f>SUM(M13:M14)</f>
        <v>0</v>
      </c>
      <c r="N15" s="17">
        <f>SUM(N13:N14)</f>
        <v>0</v>
      </c>
      <c r="O15" s="17">
        <f t="shared" si="2"/>
        <v>0</v>
      </c>
      <c r="P15" s="18">
        <f t="shared" si="0"/>
        <v>10869</v>
      </c>
    </row>
    <row r="16" spans="1:16" ht="15" customHeight="1" x14ac:dyDescent="0.25">
      <c r="A16" s="133">
        <f>A13+1</f>
        <v>3</v>
      </c>
      <c r="B16" s="134" t="s">
        <v>8</v>
      </c>
      <c r="C16" s="135" t="s">
        <v>19</v>
      </c>
      <c r="D16" s="138">
        <v>39238</v>
      </c>
      <c r="E16" s="141" t="s">
        <v>20</v>
      </c>
      <c r="F16" s="19" t="s">
        <v>21</v>
      </c>
      <c r="G16" s="12" t="s">
        <v>12</v>
      </c>
      <c r="H16" s="13">
        <v>17044</v>
      </c>
      <c r="I16" s="13">
        <v>8515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0">
        <v>0</v>
      </c>
      <c r="P16" s="13">
        <f t="shared" si="0"/>
        <v>25559</v>
      </c>
    </row>
    <row r="17" spans="1:16" ht="14.25" customHeight="1" x14ac:dyDescent="0.25">
      <c r="A17" s="133"/>
      <c r="B17" s="134"/>
      <c r="C17" s="135"/>
      <c r="D17" s="139"/>
      <c r="E17" s="142"/>
      <c r="F17" s="21" t="s">
        <v>22</v>
      </c>
      <c r="G17" s="14" t="s">
        <v>13</v>
      </c>
      <c r="H17" s="15">
        <f>530+58</f>
        <v>588</v>
      </c>
      <c r="I17" s="15">
        <f>121+13</f>
        <v>134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23">
        <v>0</v>
      </c>
      <c r="P17" s="15">
        <f t="shared" si="0"/>
        <v>722</v>
      </c>
    </row>
    <row r="18" spans="1:16" ht="14.25" customHeight="1" x14ac:dyDescent="0.25">
      <c r="A18" s="133"/>
      <c r="B18" s="134"/>
      <c r="C18" s="135"/>
      <c r="D18" s="140"/>
      <c r="E18" s="143"/>
      <c r="F18" s="16"/>
      <c r="G18" s="16" t="s">
        <v>14</v>
      </c>
      <c r="H18" s="17">
        <f t="shared" ref="H18:O18" si="3">SUM(H16:H17)</f>
        <v>17632</v>
      </c>
      <c r="I18" s="17">
        <f t="shared" si="3"/>
        <v>8649</v>
      </c>
      <c r="J18" s="17">
        <f t="shared" si="3"/>
        <v>0</v>
      </c>
      <c r="K18" s="17">
        <f>SUM(K16:K17)</f>
        <v>0</v>
      </c>
      <c r="L18" s="17">
        <f>SUM(L16:L17)</f>
        <v>0</v>
      </c>
      <c r="M18" s="17">
        <f>SUM(M16:M17)</f>
        <v>0</v>
      </c>
      <c r="N18" s="17">
        <f>SUM(N16:N17)</f>
        <v>0</v>
      </c>
      <c r="O18" s="17">
        <f t="shared" si="3"/>
        <v>0</v>
      </c>
      <c r="P18" s="18">
        <f t="shared" si="0"/>
        <v>26281</v>
      </c>
    </row>
    <row r="19" spans="1:16" ht="17.25" customHeight="1" x14ac:dyDescent="0.25">
      <c r="A19" s="133">
        <f>A16+1</f>
        <v>4</v>
      </c>
      <c r="B19" s="134" t="s">
        <v>8</v>
      </c>
      <c r="C19" s="135" t="s">
        <v>23</v>
      </c>
      <c r="D19" s="136">
        <v>39238</v>
      </c>
      <c r="E19" s="144" t="s">
        <v>20</v>
      </c>
      <c r="F19" s="19" t="s">
        <v>24</v>
      </c>
      <c r="G19" s="12" t="s">
        <v>12</v>
      </c>
      <c r="H19" s="13">
        <v>3412</v>
      </c>
      <c r="I19" s="20">
        <v>1696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13">
        <f t="shared" si="0"/>
        <v>5108</v>
      </c>
    </row>
    <row r="20" spans="1:16" ht="15.75" customHeight="1" x14ac:dyDescent="0.25">
      <c r="A20" s="133"/>
      <c r="B20" s="134"/>
      <c r="C20" s="135"/>
      <c r="D20" s="136"/>
      <c r="E20" s="144"/>
      <c r="F20" s="21" t="s">
        <v>25</v>
      </c>
      <c r="G20" s="14" t="s">
        <v>13</v>
      </c>
      <c r="H20" s="15">
        <f>106+11</f>
        <v>117</v>
      </c>
      <c r="I20" s="23">
        <f>24+3</f>
        <v>27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15">
        <f t="shared" si="0"/>
        <v>144</v>
      </c>
    </row>
    <row r="21" spans="1:16" ht="15.75" customHeight="1" x14ac:dyDescent="0.25">
      <c r="A21" s="133"/>
      <c r="B21" s="134"/>
      <c r="C21" s="135"/>
      <c r="D21" s="136"/>
      <c r="E21" s="144"/>
      <c r="F21" s="16"/>
      <c r="G21" s="16" t="s">
        <v>14</v>
      </c>
      <c r="H21" s="17">
        <f t="shared" ref="H21:O21" si="4">SUM(H19:H20)</f>
        <v>3529</v>
      </c>
      <c r="I21" s="17">
        <f t="shared" si="4"/>
        <v>1723</v>
      </c>
      <c r="J21" s="17">
        <f t="shared" si="4"/>
        <v>0</v>
      </c>
      <c r="K21" s="17">
        <f>SUM(K19:K20)</f>
        <v>0</v>
      </c>
      <c r="L21" s="17">
        <f>SUM(L19:L20)</f>
        <v>0</v>
      </c>
      <c r="M21" s="17">
        <f>SUM(M19:M20)</f>
        <v>0</v>
      </c>
      <c r="N21" s="17">
        <f>SUM(N19:N20)</f>
        <v>0</v>
      </c>
      <c r="O21" s="17">
        <f t="shared" si="4"/>
        <v>0</v>
      </c>
      <c r="P21" s="18">
        <f t="shared" si="0"/>
        <v>5252</v>
      </c>
    </row>
    <row r="22" spans="1:16" ht="16.5" customHeight="1" x14ac:dyDescent="0.25">
      <c r="A22" s="133">
        <f>A19+1</f>
        <v>5</v>
      </c>
      <c r="B22" s="134" t="s">
        <v>8</v>
      </c>
      <c r="C22" s="135" t="s">
        <v>26</v>
      </c>
      <c r="D22" s="136">
        <v>39328</v>
      </c>
      <c r="E22" s="144" t="s">
        <v>27</v>
      </c>
      <c r="F22" s="19" t="s">
        <v>28</v>
      </c>
      <c r="G22" s="12" t="s">
        <v>12</v>
      </c>
      <c r="H22" s="13">
        <v>23523</v>
      </c>
      <c r="I22" s="13">
        <v>11684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0">
        <v>0</v>
      </c>
      <c r="P22" s="13">
        <f t="shared" si="0"/>
        <v>35207</v>
      </c>
    </row>
    <row r="23" spans="1:16" ht="16.5" customHeight="1" x14ac:dyDescent="0.25">
      <c r="A23" s="133"/>
      <c r="B23" s="134"/>
      <c r="C23" s="135"/>
      <c r="D23" s="136"/>
      <c r="E23" s="144"/>
      <c r="F23" s="21" t="s">
        <v>29</v>
      </c>
      <c r="G23" s="14" t="s">
        <v>13</v>
      </c>
      <c r="H23" s="22">
        <f>1112+80</f>
        <v>1192</v>
      </c>
      <c r="I23" s="22">
        <f>290+21</f>
        <v>311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23">
        <v>0</v>
      </c>
      <c r="P23" s="15">
        <f t="shared" si="0"/>
        <v>1503</v>
      </c>
    </row>
    <row r="24" spans="1:16" ht="15.75" customHeight="1" x14ac:dyDescent="0.25">
      <c r="A24" s="133"/>
      <c r="B24" s="134"/>
      <c r="C24" s="135"/>
      <c r="D24" s="136"/>
      <c r="E24" s="144"/>
      <c r="F24" s="16"/>
      <c r="G24" s="16" t="s">
        <v>14</v>
      </c>
      <c r="H24" s="17">
        <f t="shared" ref="H24:O24" si="5">SUM(H22:H23)</f>
        <v>24715</v>
      </c>
      <c r="I24" s="17">
        <f t="shared" si="5"/>
        <v>11995</v>
      </c>
      <c r="J24" s="17">
        <f t="shared" si="5"/>
        <v>0</v>
      </c>
      <c r="K24" s="17">
        <f>SUM(K22:K23)</f>
        <v>0</v>
      </c>
      <c r="L24" s="17">
        <f>SUM(L22:L23)</f>
        <v>0</v>
      </c>
      <c r="M24" s="17">
        <f>SUM(M22:M23)</f>
        <v>0</v>
      </c>
      <c r="N24" s="17">
        <f>SUM(N22:N23)</f>
        <v>0</v>
      </c>
      <c r="O24" s="17">
        <f t="shared" si="5"/>
        <v>0</v>
      </c>
      <c r="P24" s="18">
        <f t="shared" si="0"/>
        <v>36710</v>
      </c>
    </row>
    <row r="25" spans="1:16" ht="17.25" customHeight="1" x14ac:dyDescent="0.25">
      <c r="A25" s="133">
        <f>A22+1</f>
        <v>6</v>
      </c>
      <c r="B25" s="134" t="s">
        <v>8</v>
      </c>
      <c r="C25" s="145" t="s">
        <v>30</v>
      </c>
      <c r="D25" s="136">
        <v>39328</v>
      </c>
      <c r="E25" s="144" t="s">
        <v>31</v>
      </c>
      <c r="F25" s="19" t="s">
        <v>32</v>
      </c>
      <c r="G25" s="12" t="s">
        <v>12</v>
      </c>
      <c r="H25" s="13">
        <v>34128</v>
      </c>
      <c r="I25" s="13">
        <v>17060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0">
        <v>0</v>
      </c>
      <c r="P25" s="13">
        <f t="shared" si="0"/>
        <v>51188</v>
      </c>
    </row>
    <row r="26" spans="1:16" ht="15.75" customHeight="1" x14ac:dyDescent="0.25">
      <c r="A26" s="133"/>
      <c r="B26" s="134"/>
      <c r="C26" s="145"/>
      <c r="D26" s="136"/>
      <c r="E26" s="144"/>
      <c r="F26" s="21" t="s">
        <v>33</v>
      </c>
      <c r="G26" s="14" t="s">
        <v>13</v>
      </c>
      <c r="H26" s="15">
        <f>1773+116</f>
        <v>1889</v>
      </c>
      <c r="I26" s="15">
        <f>436+28</f>
        <v>464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23">
        <v>0</v>
      </c>
      <c r="P26" s="15">
        <f t="shared" si="0"/>
        <v>2353</v>
      </c>
    </row>
    <row r="27" spans="1:16" ht="15" customHeight="1" x14ac:dyDescent="0.25">
      <c r="A27" s="133"/>
      <c r="B27" s="134"/>
      <c r="C27" s="145"/>
      <c r="D27" s="136"/>
      <c r="E27" s="144"/>
      <c r="F27" s="16"/>
      <c r="G27" s="16" t="s">
        <v>14</v>
      </c>
      <c r="H27" s="17">
        <f t="shared" ref="H27:O27" si="6">SUM(H25:H26)</f>
        <v>36017</v>
      </c>
      <c r="I27" s="17">
        <f t="shared" si="6"/>
        <v>17524</v>
      </c>
      <c r="J27" s="17">
        <f t="shared" si="6"/>
        <v>0</v>
      </c>
      <c r="K27" s="17">
        <f>SUM(K25:K26)</f>
        <v>0</v>
      </c>
      <c r="L27" s="17">
        <f>SUM(L25:L26)</f>
        <v>0</v>
      </c>
      <c r="M27" s="17">
        <f>SUM(M25:M26)</f>
        <v>0</v>
      </c>
      <c r="N27" s="17">
        <f>SUM(N25:N26)</f>
        <v>0</v>
      </c>
      <c r="O27" s="17">
        <f t="shared" si="6"/>
        <v>0</v>
      </c>
      <c r="P27" s="18">
        <f t="shared" si="0"/>
        <v>53541</v>
      </c>
    </row>
    <row r="28" spans="1:16" ht="17.25" customHeight="1" x14ac:dyDescent="0.25">
      <c r="A28" s="133">
        <f>A25+1</f>
        <v>7</v>
      </c>
      <c r="B28" s="134" t="s">
        <v>8</v>
      </c>
      <c r="C28" s="135" t="s">
        <v>15</v>
      </c>
      <c r="D28" s="136">
        <v>39356</v>
      </c>
      <c r="E28" s="144" t="s">
        <v>34</v>
      </c>
      <c r="F28" s="19" t="s">
        <v>35</v>
      </c>
      <c r="G28" s="12" t="s">
        <v>12</v>
      </c>
      <c r="H28" s="13">
        <v>16376</v>
      </c>
      <c r="I28" s="13">
        <v>12275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0">
        <v>0</v>
      </c>
      <c r="P28" s="13">
        <f t="shared" si="0"/>
        <v>28651</v>
      </c>
    </row>
    <row r="29" spans="1:16" ht="15.75" customHeight="1" x14ac:dyDescent="0.25">
      <c r="A29" s="133"/>
      <c r="B29" s="134"/>
      <c r="C29" s="135"/>
      <c r="D29" s="136"/>
      <c r="E29" s="144"/>
      <c r="F29" s="21" t="s">
        <v>36</v>
      </c>
      <c r="G29" s="14" t="s">
        <v>13</v>
      </c>
      <c r="H29" s="22">
        <f>593+66</f>
        <v>659</v>
      </c>
      <c r="I29" s="22">
        <f>222+25</f>
        <v>247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23">
        <v>0</v>
      </c>
      <c r="P29" s="15">
        <f t="shared" si="0"/>
        <v>906</v>
      </c>
    </row>
    <row r="30" spans="1:16" ht="15" customHeight="1" x14ac:dyDescent="0.25">
      <c r="A30" s="133"/>
      <c r="B30" s="134"/>
      <c r="C30" s="135"/>
      <c r="D30" s="136"/>
      <c r="E30" s="144"/>
      <c r="F30" s="16"/>
      <c r="G30" s="16" t="s">
        <v>14</v>
      </c>
      <c r="H30" s="17">
        <f t="shared" ref="H30:O30" si="7">SUM(H28:H29)</f>
        <v>17035</v>
      </c>
      <c r="I30" s="17">
        <f t="shared" si="7"/>
        <v>12522</v>
      </c>
      <c r="J30" s="17">
        <f t="shared" si="7"/>
        <v>0</v>
      </c>
      <c r="K30" s="17">
        <f>SUM(K28:K29)</f>
        <v>0</v>
      </c>
      <c r="L30" s="17">
        <f>SUM(L28:L29)</f>
        <v>0</v>
      </c>
      <c r="M30" s="17">
        <f>SUM(M28:M29)</f>
        <v>0</v>
      </c>
      <c r="N30" s="17">
        <f>SUM(N28:N29)</f>
        <v>0</v>
      </c>
      <c r="O30" s="17">
        <f t="shared" si="7"/>
        <v>0</v>
      </c>
      <c r="P30" s="18">
        <f t="shared" si="0"/>
        <v>29557</v>
      </c>
    </row>
    <row r="31" spans="1:16" ht="17.25" customHeight="1" x14ac:dyDescent="0.25">
      <c r="A31" s="133">
        <f>A28+1</f>
        <v>8</v>
      </c>
      <c r="B31" s="134" t="s">
        <v>8</v>
      </c>
      <c r="C31" s="145" t="s">
        <v>37</v>
      </c>
      <c r="D31" s="136">
        <v>39434</v>
      </c>
      <c r="E31" s="144" t="s">
        <v>38</v>
      </c>
      <c r="F31" s="24" t="s">
        <v>39</v>
      </c>
      <c r="G31" s="12" t="s">
        <v>12</v>
      </c>
      <c r="H31" s="13">
        <v>56148</v>
      </c>
      <c r="I31" s="13">
        <f>56139+1</f>
        <v>56140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0">
        <v>0</v>
      </c>
      <c r="P31" s="13">
        <f t="shared" si="0"/>
        <v>112288</v>
      </c>
    </row>
    <row r="32" spans="1:16" ht="16.5" customHeight="1" x14ac:dyDescent="0.25">
      <c r="A32" s="133"/>
      <c r="B32" s="134"/>
      <c r="C32" s="145"/>
      <c r="D32" s="136"/>
      <c r="E32" s="144"/>
      <c r="F32" s="21" t="s">
        <v>40</v>
      </c>
      <c r="G32" s="14" t="s">
        <v>13</v>
      </c>
      <c r="H32" s="22">
        <f>2280+263</f>
        <v>2543</v>
      </c>
      <c r="I32" s="22">
        <f>1042+120</f>
        <v>1162</v>
      </c>
      <c r="J32" s="15">
        <f>67+8</f>
        <v>75</v>
      </c>
      <c r="K32" s="15">
        <v>0</v>
      </c>
      <c r="L32" s="15">
        <v>0</v>
      </c>
      <c r="M32" s="15">
        <v>0</v>
      </c>
      <c r="N32" s="15">
        <v>0</v>
      </c>
      <c r="O32" s="23">
        <v>0</v>
      </c>
      <c r="P32" s="15">
        <f t="shared" si="0"/>
        <v>3780</v>
      </c>
    </row>
    <row r="33" spans="1:16" ht="15" customHeight="1" x14ac:dyDescent="0.25">
      <c r="A33" s="133"/>
      <c r="B33" s="146"/>
      <c r="C33" s="147"/>
      <c r="D33" s="138"/>
      <c r="E33" s="141"/>
      <c r="F33" s="25"/>
      <c r="G33" s="25" t="s">
        <v>14</v>
      </c>
      <c r="H33" s="17">
        <f t="shared" ref="H33:O33" si="8">SUM(H31:H32)</f>
        <v>58691</v>
      </c>
      <c r="I33" s="17">
        <f t="shared" si="8"/>
        <v>57302</v>
      </c>
      <c r="J33" s="17">
        <f t="shared" si="8"/>
        <v>75</v>
      </c>
      <c r="K33" s="17">
        <f>SUM(K31:K32)</f>
        <v>0</v>
      </c>
      <c r="L33" s="17">
        <f t="shared" ref="L33:N33" si="9">SUM(L31:L32)</f>
        <v>0</v>
      </c>
      <c r="M33" s="17">
        <f t="shared" si="9"/>
        <v>0</v>
      </c>
      <c r="N33" s="17">
        <f t="shared" si="9"/>
        <v>0</v>
      </c>
      <c r="O33" s="17">
        <f t="shared" si="8"/>
        <v>0</v>
      </c>
      <c r="P33" s="18">
        <f t="shared" si="0"/>
        <v>116068</v>
      </c>
    </row>
    <row r="34" spans="1:16" ht="17.25" customHeight="1" x14ac:dyDescent="0.25">
      <c r="A34" s="133">
        <f>A31+1</f>
        <v>9</v>
      </c>
      <c r="B34" s="134" t="s">
        <v>8</v>
      </c>
      <c r="C34" s="145" t="s">
        <v>41</v>
      </c>
      <c r="D34" s="136">
        <v>39556</v>
      </c>
      <c r="E34" s="144" t="s">
        <v>42</v>
      </c>
      <c r="F34" s="24" t="s">
        <v>43</v>
      </c>
      <c r="G34" s="12" t="s">
        <v>12</v>
      </c>
      <c r="H34" s="13">
        <v>105836</v>
      </c>
      <c r="I34" s="13">
        <v>105836</v>
      </c>
      <c r="J34" s="13">
        <f>26459+26449</f>
        <v>52908</v>
      </c>
      <c r="K34" s="13">
        <v>0</v>
      </c>
      <c r="L34" s="13">
        <v>0</v>
      </c>
      <c r="M34" s="13">
        <v>0</v>
      </c>
      <c r="N34" s="13">
        <v>0</v>
      </c>
      <c r="O34" s="26">
        <v>0</v>
      </c>
      <c r="P34" s="13">
        <f t="shared" si="0"/>
        <v>264580</v>
      </c>
    </row>
    <row r="35" spans="1:16" ht="17.25" customHeight="1" x14ac:dyDescent="0.25">
      <c r="A35" s="133"/>
      <c r="B35" s="134"/>
      <c r="C35" s="145"/>
      <c r="D35" s="136"/>
      <c r="E35" s="144"/>
      <c r="F35" s="21" t="s">
        <v>44</v>
      </c>
      <c r="G35" s="14" t="s">
        <v>13</v>
      </c>
      <c r="H35" s="15">
        <f>9574+630</f>
        <v>10204</v>
      </c>
      <c r="I35" s="15">
        <f>5486+361</f>
        <v>5847</v>
      </c>
      <c r="J35" s="15">
        <f>1265+83</f>
        <v>1348</v>
      </c>
      <c r="K35" s="15">
        <v>0</v>
      </c>
      <c r="L35" s="15">
        <v>0</v>
      </c>
      <c r="M35" s="15">
        <v>0</v>
      </c>
      <c r="N35" s="15">
        <v>0</v>
      </c>
      <c r="O35" s="18">
        <v>0</v>
      </c>
      <c r="P35" s="15">
        <f t="shared" si="0"/>
        <v>17399</v>
      </c>
    </row>
    <row r="36" spans="1:16" ht="17.25" customHeight="1" x14ac:dyDescent="0.25">
      <c r="A36" s="133"/>
      <c r="B36" s="134"/>
      <c r="C36" s="145"/>
      <c r="D36" s="136"/>
      <c r="E36" s="144"/>
      <c r="F36" s="16"/>
      <c r="G36" s="16" t="s">
        <v>14</v>
      </c>
      <c r="H36" s="17">
        <f t="shared" ref="H36:O36" si="10">SUM(H34:H35)</f>
        <v>116040</v>
      </c>
      <c r="I36" s="17">
        <f t="shared" si="10"/>
        <v>111683</v>
      </c>
      <c r="J36" s="17">
        <f t="shared" si="10"/>
        <v>54256</v>
      </c>
      <c r="K36" s="17">
        <f>SUM(K34:K35)</f>
        <v>0</v>
      </c>
      <c r="L36" s="17">
        <f t="shared" ref="L36:N36" si="11">SUM(L34:L35)</f>
        <v>0</v>
      </c>
      <c r="M36" s="17">
        <f t="shared" si="11"/>
        <v>0</v>
      </c>
      <c r="N36" s="17">
        <f t="shared" si="11"/>
        <v>0</v>
      </c>
      <c r="O36" s="17">
        <f t="shared" si="10"/>
        <v>0</v>
      </c>
      <c r="P36" s="18">
        <f t="shared" si="0"/>
        <v>281979</v>
      </c>
    </row>
    <row r="37" spans="1:16" ht="17.25" customHeight="1" x14ac:dyDescent="0.25">
      <c r="A37" s="133">
        <f>A34+1</f>
        <v>10</v>
      </c>
      <c r="B37" s="134" t="s">
        <v>8</v>
      </c>
      <c r="C37" s="135" t="s">
        <v>711</v>
      </c>
      <c r="D37" s="136">
        <v>39575</v>
      </c>
      <c r="E37" s="144" t="s">
        <v>45</v>
      </c>
      <c r="F37" s="19" t="s">
        <v>46</v>
      </c>
      <c r="G37" s="12" t="s">
        <v>12</v>
      </c>
      <c r="H37" s="13">
        <v>40654</v>
      </c>
      <c r="I37" s="13">
        <v>40654</v>
      </c>
      <c r="J37" s="13">
        <v>40654</v>
      </c>
      <c r="K37" s="13">
        <v>40654</v>
      </c>
      <c r="L37" s="13">
        <v>40654</v>
      </c>
      <c r="M37" s="13">
        <v>40654</v>
      </c>
      <c r="N37" s="13">
        <v>40654</v>
      </c>
      <c r="O37" s="13">
        <f>142272-40654-40654-40654</f>
        <v>20310</v>
      </c>
      <c r="P37" s="13">
        <f t="shared" si="0"/>
        <v>304888</v>
      </c>
    </row>
    <row r="38" spans="1:16" ht="17.25" customHeight="1" x14ac:dyDescent="0.25">
      <c r="A38" s="133"/>
      <c r="B38" s="134"/>
      <c r="C38" s="135"/>
      <c r="D38" s="136"/>
      <c r="E38" s="144"/>
      <c r="F38" s="21" t="s">
        <v>47</v>
      </c>
      <c r="G38" s="14" t="s">
        <v>13</v>
      </c>
      <c r="H38" s="22">
        <f>10501+757</f>
        <v>11258</v>
      </c>
      <c r="I38" s="22">
        <f>9068+654</f>
        <v>9722</v>
      </c>
      <c r="J38" s="15">
        <f>7656+552</f>
        <v>8208</v>
      </c>
      <c r="K38" s="15">
        <f>6206+447</f>
        <v>6653</v>
      </c>
      <c r="L38" s="15">
        <f>4777+344</f>
        <v>5121</v>
      </c>
      <c r="M38" s="15">
        <f>3350+242</f>
        <v>3592</v>
      </c>
      <c r="N38" s="15">
        <f>1929+139</f>
        <v>2068</v>
      </c>
      <c r="O38" s="15">
        <f>442+32</f>
        <v>474</v>
      </c>
      <c r="P38" s="15">
        <f t="shared" si="0"/>
        <v>47096</v>
      </c>
    </row>
    <row r="39" spans="1:16" ht="17.25" customHeight="1" x14ac:dyDescent="0.25">
      <c r="A39" s="133"/>
      <c r="B39" s="146"/>
      <c r="C39" s="148"/>
      <c r="D39" s="138"/>
      <c r="E39" s="141"/>
      <c r="F39" s="25"/>
      <c r="G39" s="25" t="s">
        <v>14</v>
      </c>
      <c r="H39" s="17">
        <f t="shared" ref="H39:O39" si="12">SUM(H37:H38)</f>
        <v>51912</v>
      </c>
      <c r="I39" s="17">
        <f t="shared" si="12"/>
        <v>50376</v>
      </c>
      <c r="J39" s="17">
        <f t="shared" si="12"/>
        <v>48862</v>
      </c>
      <c r="K39" s="17">
        <f t="shared" si="12"/>
        <v>47307</v>
      </c>
      <c r="L39" s="17">
        <f t="shared" si="12"/>
        <v>45775</v>
      </c>
      <c r="M39" s="17">
        <f t="shared" si="12"/>
        <v>44246</v>
      </c>
      <c r="N39" s="17">
        <f t="shared" si="12"/>
        <v>42722</v>
      </c>
      <c r="O39" s="17">
        <f t="shared" si="12"/>
        <v>20784</v>
      </c>
      <c r="P39" s="18">
        <f t="shared" si="0"/>
        <v>351984</v>
      </c>
    </row>
    <row r="40" spans="1:16" ht="17.25" customHeight="1" x14ac:dyDescent="0.25">
      <c r="A40" s="133">
        <f>A37+1</f>
        <v>11</v>
      </c>
      <c r="B40" s="134" t="s">
        <v>8</v>
      </c>
      <c r="C40" s="135" t="s">
        <v>48</v>
      </c>
      <c r="D40" s="136">
        <v>39596</v>
      </c>
      <c r="E40" s="144" t="s">
        <v>45</v>
      </c>
      <c r="F40" s="19" t="s">
        <v>49</v>
      </c>
      <c r="G40" s="12" t="s">
        <v>12</v>
      </c>
      <c r="H40" s="13">
        <v>17012</v>
      </c>
      <c r="I40" s="13">
        <v>17012</v>
      </c>
      <c r="J40" s="13">
        <v>17012</v>
      </c>
      <c r="K40" s="13">
        <v>17012</v>
      </c>
      <c r="L40" s="13">
        <v>17012</v>
      </c>
      <c r="M40" s="13">
        <v>17012</v>
      </c>
      <c r="N40" s="13">
        <v>17012</v>
      </c>
      <c r="O40" s="13">
        <f>42520-1-17012-17012</f>
        <v>8495</v>
      </c>
      <c r="P40" s="13">
        <f t="shared" si="0"/>
        <v>127579</v>
      </c>
    </row>
    <row r="41" spans="1:16" ht="17.25" customHeight="1" x14ac:dyDescent="0.25">
      <c r="A41" s="133"/>
      <c r="B41" s="134"/>
      <c r="C41" s="135"/>
      <c r="D41" s="136"/>
      <c r="E41" s="144"/>
      <c r="F41" s="21" t="s">
        <v>50</v>
      </c>
      <c r="G41" s="14" t="s">
        <v>13</v>
      </c>
      <c r="H41" s="15">
        <f>2878+317</f>
        <v>3195</v>
      </c>
      <c r="I41" s="15">
        <f>2463+274</f>
        <v>2737</v>
      </c>
      <c r="J41" s="15">
        <f>2079+231</f>
        <v>2310</v>
      </c>
      <c r="K41" s="15">
        <f>1685+188</f>
        <v>1873</v>
      </c>
      <c r="L41" s="15">
        <f>1297+144</f>
        <v>1441</v>
      </c>
      <c r="M41" s="15">
        <f>910+101</f>
        <v>1011</v>
      </c>
      <c r="N41" s="15">
        <f>524+58</f>
        <v>582</v>
      </c>
      <c r="O41" s="15">
        <f>120+13</f>
        <v>133</v>
      </c>
      <c r="P41" s="15">
        <f t="shared" si="0"/>
        <v>13282</v>
      </c>
    </row>
    <row r="42" spans="1:16" ht="17.25" customHeight="1" x14ac:dyDescent="0.25">
      <c r="A42" s="133"/>
      <c r="B42" s="134"/>
      <c r="C42" s="135"/>
      <c r="D42" s="136"/>
      <c r="E42" s="144"/>
      <c r="F42" s="16"/>
      <c r="G42" s="16" t="s">
        <v>14</v>
      </c>
      <c r="H42" s="17">
        <f t="shared" ref="H42:O42" si="13">SUM(H40:H41)</f>
        <v>20207</v>
      </c>
      <c r="I42" s="17">
        <f t="shared" si="13"/>
        <v>19749</v>
      </c>
      <c r="J42" s="17">
        <f t="shared" si="13"/>
        <v>19322</v>
      </c>
      <c r="K42" s="17">
        <f t="shared" si="13"/>
        <v>18885</v>
      </c>
      <c r="L42" s="17">
        <f t="shared" si="13"/>
        <v>18453</v>
      </c>
      <c r="M42" s="17">
        <f t="shared" si="13"/>
        <v>18023</v>
      </c>
      <c r="N42" s="17">
        <f t="shared" si="13"/>
        <v>17594</v>
      </c>
      <c r="O42" s="17">
        <f t="shared" si="13"/>
        <v>8628</v>
      </c>
      <c r="P42" s="18">
        <f t="shared" si="0"/>
        <v>140861</v>
      </c>
    </row>
    <row r="43" spans="1:16" ht="16.5" customHeight="1" x14ac:dyDescent="0.25">
      <c r="A43" s="133">
        <f>A40+1</f>
        <v>12</v>
      </c>
      <c r="B43" s="134" t="s">
        <v>8</v>
      </c>
      <c r="C43" s="145" t="s">
        <v>51</v>
      </c>
      <c r="D43" s="136">
        <v>39597</v>
      </c>
      <c r="E43" s="144" t="s">
        <v>52</v>
      </c>
      <c r="F43" s="19" t="s">
        <v>53</v>
      </c>
      <c r="G43" s="12" t="s">
        <v>12</v>
      </c>
      <c r="H43" s="13">
        <f>28457+423</f>
        <v>28880</v>
      </c>
      <c r="I43" s="13">
        <f>34149+419</f>
        <v>34568</v>
      </c>
      <c r="J43" s="13">
        <f>43540+424</f>
        <v>43964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0"/>
        <v>107412</v>
      </c>
    </row>
    <row r="44" spans="1:16" ht="16.5" customHeight="1" x14ac:dyDescent="0.25">
      <c r="A44" s="133"/>
      <c r="B44" s="134"/>
      <c r="C44" s="145"/>
      <c r="D44" s="136"/>
      <c r="E44" s="144"/>
      <c r="F44" s="21" t="s">
        <v>54</v>
      </c>
      <c r="G44" s="14" t="s">
        <v>13</v>
      </c>
      <c r="H44" s="22">
        <f>2263+261</f>
        <v>2524</v>
      </c>
      <c r="I44" s="22">
        <f>1600+185</f>
        <v>1785</v>
      </c>
      <c r="J44" s="15">
        <f>805+93</f>
        <v>898</v>
      </c>
      <c r="K44" s="22">
        <f>33+4</f>
        <v>37</v>
      </c>
      <c r="L44" s="15">
        <v>0</v>
      </c>
      <c r="M44" s="15">
        <v>0</v>
      </c>
      <c r="N44" s="15">
        <v>0</v>
      </c>
      <c r="O44" s="15">
        <v>0</v>
      </c>
      <c r="P44" s="15">
        <f t="shared" si="0"/>
        <v>5244</v>
      </c>
    </row>
    <row r="45" spans="1:16" ht="16.5" customHeight="1" x14ac:dyDescent="0.25">
      <c r="A45" s="133"/>
      <c r="B45" s="134"/>
      <c r="C45" s="145"/>
      <c r="D45" s="136"/>
      <c r="E45" s="144"/>
      <c r="F45" s="16"/>
      <c r="G45" s="16" t="s">
        <v>14</v>
      </c>
      <c r="H45" s="17">
        <f t="shared" ref="H45:O45" si="14">SUM(H43:H44)</f>
        <v>31404</v>
      </c>
      <c r="I45" s="17">
        <f t="shared" si="14"/>
        <v>36353</v>
      </c>
      <c r="J45" s="17">
        <f t="shared" si="14"/>
        <v>44862</v>
      </c>
      <c r="K45" s="17">
        <f t="shared" si="14"/>
        <v>37</v>
      </c>
      <c r="L45" s="17">
        <f t="shared" si="14"/>
        <v>0</v>
      </c>
      <c r="M45" s="17">
        <f t="shared" si="14"/>
        <v>0</v>
      </c>
      <c r="N45" s="17">
        <f t="shared" si="14"/>
        <v>0</v>
      </c>
      <c r="O45" s="17">
        <f t="shared" si="14"/>
        <v>0</v>
      </c>
      <c r="P45" s="18">
        <f t="shared" si="0"/>
        <v>112656</v>
      </c>
    </row>
    <row r="46" spans="1:16" ht="19.5" customHeight="1" x14ac:dyDescent="0.25">
      <c r="A46" s="133">
        <f>A43+1</f>
        <v>13</v>
      </c>
      <c r="B46" s="134" t="s">
        <v>8</v>
      </c>
      <c r="C46" s="145" t="s">
        <v>55</v>
      </c>
      <c r="D46" s="136">
        <v>39632</v>
      </c>
      <c r="E46" s="144" t="s">
        <v>56</v>
      </c>
      <c r="F46" s="24" t="s">
        <v>57</v>
      </c>
      <c r="G46" s="12" t="s">
        <v>12</v>
      </c>
      <c r="H46" s="13">
        <v>9052</v>
      </c>
      <c r="I46" s="13">
        <v>9052</v>
      </c>
      <c r="J46" s="13">
        <v>9052</v>
      </c>
      <c r="K46" s="13">
        <v>9052</v>
      </c>
      <c r="L46" s="13">
        <v>9052</v>
      </c>
      <c r="M46" s="13">
        <v>9052</v>
      </c>
      <c r="N46" s="13">
        <v>9052</v>
      </c>
      <c r="O46" s="13">
        <f>22040+585-9052-9052</f>
        <v>4521</v>
      </c>
      <c r="P46" s="13">
        <f t="shared" si="0"/>
        <v>67885</v>
      </c>
    </row>
    <row r="47" spans="1:16" ht="16.899999999999999" customHeight="1" x14ac:dyDescent="0.25">
      <c r="A47" s="133"/>
      <c r="B47" s="134"/>
      <c r="C47" s="135"/>
      <c r="D47" s="136"/>
      <c r="E47" s="144"/>
      <c r="F47" s="21" t="s">
        <v>58</v>
      </c>
      <c r="G47" s="14" t="s">
        <v>13</v>
      </c>
      <c r="H47" s="15">
        <f>2561+169</f>
        <v>2730</v>
      </c>
      <c r="I47" s="15">
        <f>2212+146</f>
        <v>2358</v>
      </c>
      <c r="J47" s="15">
        <f>1787+123</f>
        <v>1910</v>
      </c>
      <c r="K47" s="15">
        <f>1132+100</f>
        <v>1232</v>
      </c>
      <c r="L47" s="15">
        <f>948+77</f>
        <v>1025</v>
      </c>
      <c r="M47" s="15">
        <f>665+54</f>
        <v>719</v>
      </c>
      <c r="N47" s="15">
        <f>383+31</f>
        <v>414</v>
      </c>
      <c r="O47" s="15">
        <f>100+8</f>
        <v>108</v>
      </c>
      <c r="P47" s="15">
        <f t="shared" si="0"/>
        <v>10496</v>
      </c>
    </row>
    <row r="48" spans="1:16" ht="16.149999999999999" customHeight="1" x14ac:dyDescent="0.25">
      <c r="A48" s="133"/>
      <c r="B48" s="134"/>
      <c r="C48" s="135"/>
      <c r="D48" s="136"/>
      <c r="E48" s="144"/>
      <c r="F48" s="16"/>
      <c r="G48" s="16" t="s">
        <v>14</v>
      </c>
      <c r="H48" s="17">
        <f t="shared" ref="H48:O48" si="15">SUM(H46:H47)</f>
        <v>11782</v>
      </c>
      <c r="I48" s="17">
        <f t="shared" si="15"/>
        <v>11410</v>
      </c>
      <c r="J48" s="17">
        <f t="shared" si="15"/>
        <v>10962</v>
      </c>
      <c r="K48" s="17">
        <f t="shared" si="15"/>
        <v>10284</v>
      </c>
      <c r="L48" s="17">
        <f t="shared" si="15"/>
        <v>10077</v>
      </c>
      <c r="M48" s="17">
        <f t="shared" si="15"/>
        <v>9771</v>
      </c>
      <c r="N48" s="17">
        <f t="shared" si="15"/>
        <v>9466</v>
      </c>
      <c r="O48" s="17">
        <f t="shared" si="15"/>
        <v>4629</v>
      </c>
      <c r="P48" s="18">
        <f t="shared" si="0"/>
        <v>78381</v>
      </c>
    </row>
    <row r="49" spans="1:16" ht="19.5" customHeight="1" x14ac:dyDescent="0.25">
      <c r="A49" s="133">
        <f>A46+1</f>
        <v>14</v>
      </c>
      <c r="B49" s="134" t="s">
        <v>8</v>
      </c>
      <c r="C49" s="135" t="s">
        <v>59</v>
      </c>
      <c r="D49" s="136">
        <v>39749</v>
      </c>
      <c r="E49" s="144" t="s">
        <v>60</v>
      </c>
      <c r="F49" s="24" t="s">
        <v>61</v>
      </c>
      <c r="G49" s="12" t="s">
        <v>12</v>
      </c>
      <c r="H49" s="13">
        <v>60276</v>
      </c>
      <c r="I49" s="13">
        <v>60276</v>
      </c>
      <c r="J49" s="13">
        <f>60269+1</f>
        <v>60270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0"/>
        <v>180822</v>
      </c>
    </row>
    <row r="50" spans="1:16" ht="16.899999999999999" customHeight="1" x14ac:dyDescent="0.25">
      <c r="A50" s="133"/>
      <c r="B50" s="134"/>
      <c r="C50" s="135"/>
      <c r="D50" s="136"/>
      <c r="E50" s="144"/>
      <c r="F50" s="21" t="s">
        <v>62</v>
      </c>
      <c r="G50" s="14" t="s">
        <v>13</v>
      </c>
      <c r="H50" s="22">
        <f>3771+435</f>
        <v>4206</v>
      </c>
      <c r="I50" s="22">
        <f>2442+282</f>
        <v>2724</v>
      </c>
      <c r="J50" s="15">
        <f>1119+129</f>
        <v>1248</v>
      </c>
      <c r="K50" s="15">
        <f>72+8</f>
        <v>80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0"/>
        <v>8258</v>
      </c>
    </row>
    <row r="51" spans="1:16" ht="18" customHeight="1" x14ac:dyDescent="0.25">
      <c r="A51" s="133"/>
      <c r="B51" s="134"/>
      <c r="C51" s="135"/>
      <c r="D51" s="136"/>
      <c r="E51" s="144"/>
      <c r="F51" s="16"/>
      <c r="G51" s="16" t="s">
        <v>14</v>
      </c>
      <c r="H51" s="17">
        <f t="shared" ref="H51:K51" si="16">SUM(H49:H50)</f>
        <v>64482</v>
      </c>
      <c r="I51" s="17">
        <f t="shared" si="16"/>
        <v>63000</v>
      </c>
      <c r="J51" s="17">
        <f t="shared" si="16"/>
        <v>61518</v>
      </c>
      <c r="K51" s="17">
        <f t="shared" si="16"/>
        <v>80</v>
      </c>
      <c r="L51" s="17">
        <f>SUM(L49:L50)</f>
        <v>0</v>
      </c>
      <c r="M51" s="17">
        <f t="shared" ref="M51:O51" si="17">SUM(M49:M50)</f>
        <v>0</v>
      </c>
      <c r="N51" s="17">
        <f t="shared" si="17"/>
        <v>0</v>
      </c>
      <c r="O51" s="17">
        <f t="shared" si="17"/>
        <v>0</v>
      </c>
      <c r="P51" s="18">
        <f t="shared" si="0"/>
        <v>189080</v>
      </c>
    </row>
    <row r="52" spans="1:16" ht="17.45" customHeight="1" x14ac:dyDescent="0.25">
      <c r="A52" s="149">
        <f>A49+1</f>
        <v>15</v>
      </c>
      <c r="B52" s="146" t="s">
        <v>8</v>
      </c>
      <c r="C52" s="148" t="s">
        <v>712</v>
      </c>
      <c r="D52" s="138">
        <v>39794</v>
      </c>
      <c r="E52" s="141" t="s">
        <v>63</v>
      </c>
      <c r="F52" s="24" t="s">
        <v>64</v>
      </c>
      <c r="G52" s="12" t="s">
        <v>12</v>
      </c>
      <c r="H52" s="13">
        <v>5538</v>
      </c>
      <c r="I52" s="13">
        <v>5538</v>
      </c>
      <c r="J52" s="13">
        <v>5538</v>
      </c>
      <c r="K52" s="13">
        <v>5538</v>
      </c>
      <c r="L52" s="13">
        <v>5538</v>
      </c>
      <c r="M52" s="13">
        <v>5538</v>
      </c>
      <c r="N52" s="13">
        <v>5538</v>
      </c>
      <c r="O52" s="13">
        <f>49720-5538-5538-5538</f>
        <v>33106</v>
      </c>
      <c r="P52" s="13">
        <f t="shared" si="0"/>
        <v>71872</v>
      </c>
    </row>
    <row r="53" spans="1:16" ht="17.25" customHeight="1" x14ac:dyDescent="0.25">
      <c r="A53" s="150"/>
      <c r="B53" s="152"/>
      <c r="C53" s="154"/>
      <c r="D53" s="139"/>
      <c r="E53" s="142"/>
      <c r="F53" s="21" t="s">
        <v>65</v>
      </c>
      <c r="G53" s="14" t="s">
        <v>13</v>
      </c>
      <c r="H53" s="22">
        <f>2461+36+180</f>
        <v>2677</v>
      </c>
      <c r="I53" s="22">
        <f>2269+33+166</f>
        <v>2468</v>
      </c>
      <c r="J53" s="15">
        <f>2112+152</f>
        <v>2264</v>
      </c>
      <c r="K53" s="15">
        <f>1912+138</f>
        <v>2050</v>
      </c>
      <c r="L53" s="15">
        <f>1717+124</f>
        <v>1841</v>
      </c>
      <c r="M53" s="15">
        <f>1523+110</f>
        <v>1633</v>
      </c>
      <c r="N53" s="15">
        <f>1332+96</f>
        <v>1428</v>
      </c>
      <c r="O53" s="15">
        <f>3975+281</f>
        <v>4256</v>
      </c>
      <c r="P53" s="15">
        <f t="shared" si="0"/>
        <v>18617</v>
      </c>
    </row>
    <row r="54" spans="1:16" ht="17.25" customHeight="1" x14ac:dyDescent="0.25">
      <c r="A54" s="151"/>
      <c r="B54" s="153"/>
      <c r="C54" s="155"/>
      <c r="D54" s="140"/>
      <c r="E54" s="143"/>
      <c r="F54" s="25"/>
      <c r="G54" s="25" t="s">
        <v>14</v>
      </c>
      <c r="H54" s="17">
        <f t="shared" ref="H54:O54" si="18">SUM(H52:H53)</f>
        <v>8215</v>
      </c>
      <c r="I54" s="17">
        <f t="shared" si="18"/>
        <v>8006</v>
      </c>
      <c r="J54" s="17">
        <f t="shared" si="18"/>
        <v>7802</v>
      </c>
      <c r="K54" s="17">
        <f t="shared" si="18"/>
        <v>7588</v>
      </c>
      <c r="L54" s="17">
        <f t="shared" si="18"/>
        <v>7379</v>
      </c>
      <c r="M54" s="17">
        <f t="shared" si="18"/>
        <v>7171</v>
      </c>
      <c r="N54" s="17">
        <f t="shared" si="18"/>
        <v>6966</v>
      </c>
      <c r="O54" s="17">
        <f t="shared" si="18"/>
        <v>37362</v>
      </c>
      <c r="P54" s="18">
        <f t="shared" si="0"/>
        <v>90489</v>
      </c>
    </row>
    <row r="55" spans="1:16" ht="18.600000000000001" customHeight="1" x14ac:dyDescent="0.25">
      <c r="A55" s="149">
        <f>A52+1</f>
        <v>16</v>
      </c>
      <c r="B55" s="146" t="s">
        <v>8</v>
      </c>
      <c r="C55" s="148" t="s">
        <v>66</v>
      </c>
      <c r="D55" s="138">
        <v>39920</v>
      </c>
      <c r="E55" s="141" t="s">
        <v>67</v>
      </c>
      <c r="F55" s="24" t="s">
        <v>68</v>
      </c>
      <c r="G55" s="12" t="s">
        <v>12</v>
      </c>
      <c r="H55" s="13">
        <v>3136</v>
      </c>
      <c r="I55" s="13">
        <v>3136</v>
      </c>
      <c r="J55" s="13">
        <v>3136</v>
      </c>
      <c r="K55" s="13">
        <v>784</v>
      </c>
      <c r="L55" s="20">
        <v>0</v>
      </c>
      <c r="M55" s="13">
        <v>0</v>
      </c>
      <c r="N55" s="13">
        <v>0</v>
      </c>
      <c r="O55" s="20">
        <v>0</v>
      </c>
      <c r="P55" s="13">
        <f t="shared" si="0"/>
        <v>10192</v>
      </c>
    </row>
    <row r="56" spans="1:16" ht="16.5" customHeight="1" x14ac:dyDescent="0.25">
      <c r="A56" s="150"/>
      <c r="B56" s="152"/>
      <c r="C56" s="154"/>
      <c r="D56" s="139"/>
      <c r="E56" s="142"/>
      <c r="F56" s="21" t="s">
        <v>69</v>
      </c>
      <c r="G56" s="14" t="s">
        <v>13</v>
      </c>
      <c r="H56" s="15">
        <f>417+25</f>
        <v>442</v>
      </c>
      <c r="I56" s="15">
        <f>282+17</f>
        <v>299</v>
      </c>
      <c r="J56" s="15">
        <f>148+8</f>
        <v>156</v>
      </c>
      <c r="K56" s="15">
        <v>24</v>
      </c>
      <c r="L56" s="23">
        <v>0</v>
      </c>
      <c r="M56" s="15">
        <v>0</v>
      </c>
      <c r="N56" s="15">
        <v>0</v>
      </c>
      <c r="O56" s="23">
        <v>0</v>
      </c>
      <c r="P56" s="15">
        <f t="shared" si="0"/>
        <v>921</v>
      </c>
    </row>
    <row r="57" spans="1:16" ht="16.5" customHeight="1" x14ac:dyDescent="0.25">
      <c r="A57" s="151"/>
      <c r="B57" s="153"/>
      <c r="C57" s="155"/>
      <c r="D57" s="140"/>
      <c r="E57" s="143"/>
      <c r="F57" s="16"/>
      <c r="G57" s="16" t="s">
        <v>14</v>
      </c>
      <c r="H57" s="17">
        <f t="shared" ref="H57:O57" si="19">SUM(H55:H56)</f>
        <v>3578</v>
      </c>
      <c r="I57" s="17">
        <f t="shared" si="19"/>
        <v>3435</v>
      </c>
      <c r="J57" s="17">
        <f t="shared" si="19"/>
        <v>3292</v>
      </c>
      <c r="K57" s="17">
        <f t="shared" si="19"/>
        <v>808</v>
      </c>
      <c r="L57" s="17">
        <f t="shared" si="19"/>
        <v>0</v>
      </c>
      <c r="M57" s="17">
        <f t="shared" si="19"/>
        <v>0</v>
      </c>
      <c r="N57" s="17">
        <f t="shared" si="19"/>
        <v>0</v>
      </c>
      <c r="O57" s="17">
        <f t="shared" si="19"/>
        <v>0</v>
      </c>
      <c r="P57" s="18">
        <f t="shared" si="0"/>
        <v>11113</v>
      </c>
    </row>
    <row r="58" spans="1:16" ht="18" customHeight="1" x14ac:dyDescent="0.25">
      <c r="A58" s="149">
        <f t="shared" ref="A58" si="20">A55+1</f>
        <v>17</v>
      </c>
      <c r="B58" s="134" t="s">
        <v>8</v>
      </c>
      <c r="C58" s="135" t="s">
        <v>70</v>
      </c>
      <c r="D58" s="136">
        <v>39994</v>
      </c>
      <c r="E58" s="144" t="s">
        <v>71</v>
      </c>
      <c r="F58" s="24" t="s">
        <v>72</v>
      </c>
      <c r="G58" s="12" t="s">
        <v>12</v>
      </c>
      <c r="H58" s="13">
        <v>3724</v>
      </c>
      <c r="I58" s="13">
        <v>3724</v>
      </c>
      <c r="J58" s="13">
        <v>3724</v>
      </c>
      <c r="K58" s="13">
        <v>1851</v>
      </c>
      <c r="L58" s="13">
        <v>0</v>
      </c>
      <c r="M58" s="13">
        <v>0</v>
      </c>
      <c r="N58" s="13">
        <v>0</v>
      </c>
      <c r="O58" s="13">
        <v>0</v>
      </c>
      <c r="P58" s="13">
        <f t="shared" si="0"/>
        <v>13023</v>
      </c>
    </row>
    <row r="59" spans="1:16" ht="17.45" customHeight="1" x14ac:dyDescent="0.25">
      <c r="A59" s="150"/>
      <c r="B59" s="134"/>
      <c r="C59" s="135"/>
      <c r="D59" s="136"/>
      <c r="E59" s="144"/>
      <c r="F59" s="21" t="s">
        <v>73</v>
      </c>
      <c r="G59" s="14" t="s">
        <v>13</v>
      </c>
      <c r="H59" s="22">
        <f>274+32</f>
        <v>306</v>
      </c>
      <c r="I59" s="22">
        <f>191+22</f>
        <v>213</v>
      </c>
      <c r="J59" s="15">
        <f>110+13</f>
        <v>123</v>
      </c>
      <c r="K59" s="15">
        <f>26+3</f>
        <v>29</v>
      </c>
      <c r="L59" s="15">
        <v>0</v>
      </c>
      <c r="M59" s="15">
        <v>0</v>
      </c>
      <c r="N59" s="15">
        <v>0</v>
      </c>
      <c r="O59" s="15">
        <v>0</v>
      </c>
      <c r="P59" s="15">
        <f t="shared" si="0"/>
        <v>671</v>
      </c>
    </row>
    <row r="60" spans="1:16" ht="16.899999999999999" customHeight="1" x14ac:dyDescent="0.25">
      <c r="A60" s="151"/>
      <c r="B60" s="134"/>
      <c r="C60" s="135"/>
      <c r="D60" s="136"/>
      <c r="E60" s="144"/>
      <c r="F60" s="16"/>
      <c r="G60" s="16" t="s">
        <v>14</v>
      </c>
      <c r="H60" s="17">
        <f t="shared" ref="H60:O60" si="21">SUM(H58:H59)</f>
        <v>4030</v>
      </c>
      <c r="I60" s="17">
        <f t="shared" si="21"/>
        <v>3937</v>
      </c>
      <c r="J60" s="17">
        <f t="shared" si="21"/>
        <v>3847</v>
      </c>
      <c r="K60" s="17">
        <f t="shared" si="21"/>
        <v>1880</v>
      </c>
      <c r="L60" s="17">
        <f t="shared" si="21"/>
        <v>0</v>
      </c>
      <c r="M60" s="17">
        <f t="shared" si="21"/>
        <v>0</v>
      </c>
      <c r="N60" s="17">
        <f t="shared" si="21"/>
        <v>0</v>
      </c>
      <c r="O60" s="17">
        <f t="shared" si="21"/>
        <v>0</v>
      </c>
      <c r="P60" s="18">
        <f t="shared" si="0"/>
        <v>13694</v>
      </c>
    </row>
    <row r="61" spans="1:16" ht="18.75" customHeight="1" x14ac:dyDescent="0.25">
      <c r="A61" s="149">
        <f t="shared" ref="A61" si="22">A58+1</f>
        <v>18</v>
      </c>
      <c r="B61" s="134" t="s">
        <v>8</v>
      </c>
      <c r="C61" s="135" t="s">
        <v>74</v>
      </c>
      <c r="D61" s="136">
        <v>40262</v>
      </c>
      <c r="E61" s="144" t="s">
        <v>75</v>
      </c>
      <c r="F61" s="24" t="s">
        <v>76</v>
      </c>
      <c r="G61" s="12" t="s">
        <v>12</v>
      </c>
      <c r="H61" s="13">
        <v>1856</v>
      </c>
      <c r="I61" s="13">
        <v>1856</v>
      </c>
      <c r="J61" s="13">
        <v>1856</v>
      </c>
      <c r="K61" s="13">
        <v>1856</v>
      </c>
      <c r="L61" s="13">
        <v>1851</v>
      </c>
      <c r="M61" s="13">
        <v>0</v>
      </c>
      <c r="N61" s="13">
        <v>0</v>
      </c>
      <c r="O61" s="13">
        <v>0</v>
      </c>
      <c r="P61" s="13">
        <f t="shared" si="0"/>
        <v>9275</v>
      </c>
    </row>
    <row r="62" spans="1:16" ht="17.45" customHeight="1" x14ac:dyDescent="0.25">
      <c r="A62" s="150"/>
      <c r="B62" s="134"/>
      <c r="C62" s="135"/>
      <c r="D62" s="136"/>
      <c r="E62" s="144"/>
      <c r="F62" s="21" t="s">
        <v>77</v>
      </c>
      <c r="G62" s="14" t="s">
        <v>13</v>
      </c>
      <c r="H62" s="22">
        <f>204+23</f>
        <v>227</v>
      </c>
      <c r="I62" s="22">
        <f>163+18</f>
        <v>181</v>
      </c>
      <c r="J62" s="15">
        <f>121+13</f>
        <v>134</v>
      </c>
      <c r="K62" s="15">
        <f>77+9</f>
        <v>86</v>
      </c>
      <c r="L62" s="15">
        <f>35+4</f>
        <v>39</v>
      </c>
      <c r="M62" s="15">
        <v>3</v>
      </c>
      <c r="N62" s="15">
        <v>0</v>
      </c>
      <c r="O62" s="15">
        <v>0</v>
      </c>
      <c r="P62" s="15">
        <f t="shared" si="0"/>
        <v>670</v>
      </c>
    </row>
    <row r="63" spans="1:16" ht="18" customHeight="1" x14ac:dyDescent="0.25">
      <c r="A63" s="151"/>
      <c r="B63" s="134"/>
      <c r="C63" s="135"/>
      <c r="D63" s="136"/>
      <c r="E63" s="144"/>
      <c r="F63" s="16"/>
      <c r="G63" s="16" t="s">
        <v>14</v>
      </c>
      <c r="H63" s="17">
        <f t="shared" ref="H63:O63" si="23">SUM(H61:H62)</f>
        <v>2083</v>
      </c>
      <c r="I63" s="17">
        <f t="shared" si="23"/>
        <v>2037</v>
      </c>
      <c r="J63" s="17">
        <f t="shared" si="23"/>
        <v>1990</v>
      </c>
      <c r="K63" s="17">
        <f t="shared" si="23"/>
        <v>1942</v>
      </c>
      <c r="L63" s="17">
        <f t="shared" si="23"/>
        <v>1890</v>
      </c>
      <c r="M63" s="17">
        <f t="shared" si="23"/>
        <v>3</v>
      </c>
      <c r="N63" s="17">
        <f t="shared" si="23"/>
        <v>0</v>
      </c>
      <c r="O63" s="17">
        <f t="shared" si="23"/>
        <v>0</v>
      </c>
      <c r="P63" s="18">
        <f t="shared" si="0"/>
        <v>9945</v>
      </c>
    </row>
    <row r="64" spans="1:16" ht="18.75" customHeight="1" x14ac:dyDescent="0.25">
      <c r="A64" s="149">
        <f t="shared" ref="A64" si="24">A61+1</f>
        <v>19</v>
      </c>
      <c r="B64" s="134" t="s">
        <v>8</v>
      </c>
      <c r="C64" s="135" t="s">
        <v>78</v>
      </c>
      <c r="D64" s="136">
        <v>40316</v>
      </c>
      <c r="E64" s="144" t="s">
        <v>75</v>
      </c>
      <c r="F64" s="24" t="s">
        <v>79</v>
      </c>
      <c r="G64" s="12" t="s">
        <v>12</v>
      </c>
      <c r="H64" s="13">
        <v>1368</v>
      </c>
      <c r="I64" s="13">
        <v>1368</v>
      </c>
      <c r="J64" s="13">
        <v>1368</v>
      </c>
      <c r="K64" s="13">
        <v>1368</v>
      </c>
      <c r="L64" s="13">
        <v>1368</v>
      </c>
      <c r="M64" s="13">
        <v>0</v>
      </c>
      <c r="N64" s="13">
        <v>0</v>
      </c>
      <c r="O64" s="13">
        <v>0</v>
      </c>
      <c r="P64" s="13">
        <f t="shared" si="0"/>
        <v>6840</v>
      </c>
    </row>
    <row r="65" spans="1:16" ht="17.45" customHeight="1" x14ac:dyDescent="0.25">
      <c r="A65" s="150"/>
      <c r="B65" s="134"/>
      <c r="C65" s="135"/>
      <c r="D65" s="136"/>
      <c r="E65" s="144"/>
      <c r="F65" s="21" t="s">
        <v>80</v>
      </c>
      <c r="G65" s="14" t="s">
        <v>13</v>
      </c>
      <c r="H65" s="22">
        <f>146+17</f>
        <v>163</v>
      </c>
      <c r="I65" s="22">
        <f>115+13</f>
        <v>128</v>
      </c>
      <c r="J65" s="15">
        <f>86+10</f>
        <v>96</v>
      </c>
      <c r="K65" s="15">
        <f>55+6</f>
        <v>61</v>
      </c>
      <c r="L65" s="15">
        <f>25+3</f>
        <v>28</v>
      </c>
      <c r="M65" s="15">
        <v>2</v>
      </c>
      <c r="N65" s="15">
        <v>0</v>
      </c>
      <c r="O65" s="15">
        <v>0</v>
      </c>
      <c r="P65" s="15">
        <f t="shared" si="0"/>
        <v>478</v>
      </c>
    </row>
    <row r="66" spans="1:16" ht="18.75" customHeight="1" x14ac:dyDescent="0.25">
      <c r="A66" s="151"/>
      <c r="B66" s="146"/>
      <c r="C66" s="148"/>
      <c r="D66" s="138"/>
      <c r="E66" s="141"/>
      <c r="F66" s="25"/>
      <c r="G66" s="25" t="s">
        <v>14</v>
      </c>
      <c r="H66" s="17">
        <f t="shared" ref="H66:O66" si="25">SUM(H64:H65)</f>
        <v>1531</v>
      </c>
      <c r="I66" s="17">
        <f t="shared" si="25"/>
        <v>1496</v>
      </c>
      <c r="J66" s="17">
        <f t="shared" si="25"/>
        <v>1464</v>
      </c>
      <c r="K66" s="17">
        <f t="shared" si="25"/>
        <v>1429</v>
      </c>
      <c r="L66" s="17">
        <f t="shared" si="25"/>
        <v>1396</v>
      </c>
      <c r="M66" s="17">
        <f t="shared" si="25"/>
        <v>2</v>
      </c>
      <c r="N66" s="17">
        <f t="shared" si="25"/>
        <v>0</v>
      </c>
      <c r="O66" s="17">
        <f t="shared" si="25"/>
        <v>0</v>
      </c>
      <c r="P66" s="18">
        <f t="shared" si="0"/>
        <v>7318</v>
      </c>
    </row>
    <row r="67" spans="1:16" ht="20.45" customHeight="1" x14ac:dyDescent="0.25">
      <c r="A67" s="149">
        <f t="shared" ref="A67" si="26">A64+1</f>
        <v>20</v>
      </c>
      <c r="B67" s="134" t="s">
        <v>8</v>
      </c>
      <c r="C67" s="135" t="s">
        <v>81</v>
      </c>
      <c r="D67" s="136">
        <v>40365</v>
      </c>
      <c r="E67" s="144" t="s">
        <v>82</v>
      </c>
      <c r="F67" s="24" t="s">
        <v>83</v>
      </c>
      <c r="G67" s="12" t="s">
        <v>12</v>
      </c>
      <c r="H67" s="13">
        <v>14168</v>
      </c>
      <c r="I67" s="13">
        <v>14168</v>
      </c>
      <c r="J67" s="13">
        <v>14168</v>
      </c>
      <c r="K67" s="13">
        <v>14168</v>
      </c>
      <c r="L67" s="13">
        <v>14168</v>
      </c>
      <c r="M67" s="13">
        <v>14168</v>
      </c>
      <c r="N67" s="13">
        <v>14168</v>
      </c>
      <c r="O67" s="13">
        <f>142229-13876+2664-14168-14168</f>
        <v>102681</v>
      </c>
      <c r="P67" s="13">
        <f t="shared" si="0"/>
        <v>201857</v>
      </c>
    </row>
    <row r="68" spans="1:16" ht="17.45" customHeight="1" x14ac:dyDescent="0.25">
      <c r="A68" s="150"/>
      <c r="B68" s="134"/>
      <c r="C68" s="135"/>
      <c r="D68" s="136"/>
      <c r="E68" s="144"/>
      <c r="F68" s="21" t="s">
        <v>84</v>
      </c>
      <c r="G68" s="14" t="s">
        <v>13</v>
      </c>
      <c r="H68" s="15">
        <f>4503+506</f>
        <v>5009</v>
      </c>
      <c r="I68" s="15">
        <f>4232+470</f>
        <v>4702</v>
      </c>
      <c r="J68" s="15">
        <f>3919+435</f>
        <v>4354</v>
      </c>
      <c r="K68" s="15">
        <f>3584+398</f>
        <v>3982</v>
      </c>
      <c r="L68" s="15">
        <f>3261+362</f>
        <v>3623</v>
      </c>
      <c r="M68" s="15">
        <f>2939+327</f>
        <v>3266</v>
      </c>
      <c r="N68" s="15">
        <f>2623+291</f>
        <v>2914</v>
      </c>
      <c r="O68" s="22">
        <f>9316+1035</f>
        <v>10351</v>
      </c>
      <c r="P68" s="15">
        <f t="shared" si="0"/>
        <v>38201</v>
      </c>
    </row>
    <row r="69" spans="1:16" ht="16.899999999999999" customHeight="1" x14ac:dyDescent="0.25">
      <c r="A69" s="151"/>
      <c r="B69" s="134"/>
      <c r="C69" s="135"/>
      <c r="D69" s="136"/>
      <c r="E69" s="144"/>
      <c r="F69" s="16"/>
      <c r="G69" s="16" t="s">
        <v>14</v>
      </c>
      <c r="H69" s="17">
        <f t="shared" ref="H69:O69" si="27">SUM(H67:H68)</f>
        <v>19177</v>
      </c>
      <c r="I69" s="17">
        <f t="shared" si="27"/>
        <v>18870</v>
      </c>
      <c r="J69" s="17">
        <f t="shared" si="27"/>
        <v>18522</v>
      </c>
      <c r="K69" s="17">
        <f t="shared" si="27"/>
        <v>18150</v>
      </c>
      <c r="L69" s="17">
        <f t="shared" si="27"/>
        <v>17791</v>
      </c>
      <c r="M69" s="17">
        <f t="shared" si="27"/>
        <v>17434</v>
      </c>
      <c r="N69" s="17">
        <f t="shared" si="27"/>
        <v>17082</v>
      </c>
      <c r="O69" s="17">
        <f t="shared" si="27"/>
        <v>113032</v>
      </c>
      <c r="P69" s="18">
        <f t="shared" si="0"/>
        <v>240058</v>
      </c>
    </row>
    <row r="70" spans="1:16" ht="15" customHeight="1" x14ac:dyDescent="0.25">
      <c r="A70" s="149">
        <f t="shared" ref="A70:A73" si="28">A67+1</f>
        <v>21</v>
      </c>
      <c r="B70" s="134" t="s">
        <v>8</v>
      </c>
      <c r="C70" s="135" t="s">
        <v>85</v>
      </c>
      <c r="D70" s="136">
        <v>40452</v>
      </c>
      <c r="E70" s="144" t="s">
        <v>86</v>
      </c>
      <c r="F70" s="24" t="s">
        <v>87</v>
      </c>
      <c r="G70" s="12" t="s">
        <v>12</v>
      </c>
      <c r="H70" s="13">
        <v>29364</v>
      </c>
      <c r="I70" s="13">
        <v>29364</v>
      </c>
      <c r="J70" s="13">
        <v>29364</v>
      </c>
      <c r="K70" s="13">
        <v>29364</v>
      </c>
      <c r="L70" s="13">
        <v>22011</v>
      </c>
      <c r="M70" s="13">
        <v>0</v>
      </c>
      <c r="N70" s="13">
        <v>0</v>
      </c>
      <c r="O70" s="13">
        <v>0</v>
      </c>
      <c r="P70" s="13">
        <f t="shared" si="0"/>
        <v>139467</v>
      </c>
    </row>
    <row r="71" spans="1:16" ht="15.75" customHeight="1" x14ac:dyDescent="0.25">
      <c r="A71" s="150"/>
      <c r="B71" s="134"/>
      <c r="C71" s="135"/>
      <c r="D71" s="136"/>
      <c r="E71" s="144"/>
      <c r="F71" s="21" t="s">
        <v>88</v>
      </c>
      <c r="G71" s="14" t="s">
        <v>13</v>
      </c>
      <c r="H71" s="15">
        <f>3082+342</f>
        <v>3424</v>
      </c>
      <c r="I71" s="15">
        <f>2408+268</f>
        <v>2676</v>
      </c>
      <c r="J71" s="15">
        <f>1741+194</f>
        <v>1935</v>
      </c>
      <c r="K71" s="15">
        <f>1067+119</f>
        <v>1186</v>
      </c>
      <c r="L71" s="15">
        <f>397+44</f>
        <v>441</v>
      </c>
      <c r="M71" s="15">
        <v>0</v>
      </c>
      <c r="N71" s="15">
        <v>0</v>
      </c>
      <c r="O71" s="15">
        <v>0</v>
      </c>
      <c r="P71" s="15">
        <f t="shared" si="0"/>
        <v>9662</v>
      </c>
    </row>
    <row r="72" spans="1:16" ht="15.75" customHeight="1" x14ac:dyDescent="0.25">
      <c r="A72" s="151"/>
      <c r="B72" s="134"/>
      <c r="C72" s="135"/>
      <c r="D72" s="136"/>
      <c r="E72" s="144"/>
      <c r="F72" s="16"/>
      <c r="G72" s="16" t="s">
        <v>14</v>
      </c>
      <c r="H72" s="17">
        <f t="shared" ref="H72:O72" si="29">SUM(H70:H71)</f>
        <v>32788</v>
      </c>
      <c r="I72" s="17">
        <f t="shared" si="29"/>
        <v>32040</v>
      </c>
      <c r="J72" s="17">
        <f t="shared" si="29"/>
        <v>31299</v>
      </c>
      <c r="K72" s="17">
        <f t="shared" si="29"/>
        <v>30550</v>
      </c>
      <c r="L72" s="17">
        <f t="shared" si="29"/>
        <v>22452</v>
      </c>
      <c r="M72" s="17">
        <f t="shared" si="29"/>
        <v>0</v>
      </c>
      <c r="N72" s="17">
        <f t="shared" si="29"/>
        <v>0</v>
      </c>
      <c r="O72" s="17">
        <f t="shared" si="29"/>
        <v>0</v>
      </c>
      <c r="P72" s="18">
        <f t="shared" si="0"/>
        <v>149129</v>
      </c>
    </row>
    <row r="73" spans="1:16" ht="18" customHeight="1" x14ac:dyDescent="0.25">
      <c r="A73" s="149">
        <f t="shared" si="28"/>
        <v>22</v>
      </c>
      <c r="B73" s="134" t="s">
        <v>8</v>
      </c>
      <c r="C73" s="135" t="s">
        <v>89</v>
      </c>
      <c r="D73" s="136">
        <v>40471</v>
      </c>
      <c r="E73" s="144" t="s">
        <v>90</v>
      </c>
      <c r="F73" s="19" t="s">
        <v>91</v>
      </c>
      <c r="G73" s="12" t="s">
        <v>12</v>
      </c>
      <c r="H73" s="13">
        <v>2128</v>
      </c>
      <c r="I73" s="13">
        <v>2128</v>
      </c>
      <c r="J73" s="13">
        <v>2128</v>
      </c>
      <c r="K73" s="13">
        <v>2128</v>
      </c>
      <c r="L73" s="13">
        <v>2128</v>
      </c>
      <c r="M73" s="13">
        <v>2128</v>
      </c>
      <c r="N73" s="13">
        <v>2128</v>
      </c>
      <c r="O73" s="13">
        <f>23100-2100+276-2128-2128</f>
        <v>17020</v>
      </c>
      <c r="P73" s="13">
        <f t="shared" si="0"/>
        <v>31916</v>
      </c>
    </row>
    <row r="74" spans="1:16" ht="18" customHeight="1" x14ac:dyDescent="0.25">
      <c r="A74" s="150"/>
      <c r="B74" s="134"/>
      <c r="C74" s="135"/>
      <c r="D74" s="136"/>
      <c r="E74" s="144"/>
      <c r="F74" s="21" t="s">
        <v>92</v>
      </c>
      <c r="G74" s="14" t="s">
        <v>13</v>
      </c>
      <c r="H74" s="15">
        <f>737+80</f>
        <v>817</v>
      </c>
      <c r="I74" s="15">
        <f>672+75</f>
        <v>747</v>
      </c>
      <c r="J74" s="15">
        <f>625+69</f>
        <v>694</v>
      </c>
      <c r="K74" s="15">
        <f>575+64</f>
        <v>639</v>
      </c>
      <c r="L74" s="15">
        <f>526+59</f>
        <v>585</v>
      </c>
      <c r="M74" s="15">
        <f>478+53</f>
        <v>531</v>
      </c>
      <c r="N74" s="15">
        <f>431+48</f>
        <v>479</v>
      </c>
      <c r="O74" s="22">
        <f>1688+187</f>
        <v>1875</v>
      </c>
      <c r="P74" s="15">
        <f t="shared" ref="P74:P137" si="30">SUM(H74:O74)</f>
        <v>6367</v>
      </c>
    </row>
    <row r="75" spans="1:16" ht="18" customHeight="1" x14ac:dyDescent="0.25">
      <c r="A75" s="151"/>
      <c r="B75" s="134"/>
      <c r="C75" s="135"/>
      <c r="D75" s="136"/>
      <c r="E75" s="144"/>
      <c r="F75" s="16"/>
      <c r="G75" s="16" t="s">
        <v>14</v>
      </c>
      <c r="H75" s="17">
        <f t="shared" ref="H75:O75" si="31">SUM(H73:H74)</f>
        <v>2945</v>
      </c>
      <c r="I75" s="17">
        <f t="shared" si="31"/>
        <v>2875</v>
      </c>
      <c r="J75" s="17">
        <f t="shared" si="31"/>
        <v>2822</v>
      </c>
      <c r="K75" s="17">
        <f t="shared" si="31"/>
        <v>2767</v>
      </c>
      <c r="L75" s="17">
        <f t="shared" si="31"/>
        <v>2713</v>
      </c>
      <c r="M75" s="17">
        <f t="shared" si="31"/>
        <v>2659</v>
      </c>
      <c r="N75" s="17">
        <f t="shared" si="31"/>
        <v>2607</v>
      </c>
      <c r="O75" s="17">
        <f t="shared" si="31"/>
        <v>18895</v>
      </c>
      <c r="P75" s="18">
        <f t="shared" si="30"/>
        <v>38283</v>
      </c>
    </row>
    <row r="76" spans="1:16" ht="17.25" customHeight="1" x14ac:dyDescent="0.25">
      <c r="A76" s="149">
        <f t="shared" ref="A76" si="32">A73+1</f>
        <v>23</v>
      </c>
      <c r="B76" s="134" t="s">
        <v>8</v>
      </c>
      <c r="C76" s="135" t="s">
        <v>93</v>
      </c>
      <c r="D76" s="136">
        <v>40651</v>
      </c>
      <c r="E76" s="144" t="s">
        <v>94</v>
      </c>
      <c r="F76" s="19" t="s">
        <v>95</v>
      </c>
      <c r="G76" s="12" t="s">
        <v>12</v>
      </c>
      <c r="H76" s="13">
        <v>3148</v>
      </c>
      <c r="I76" s="20">
        <v>0</v>
      </c>
      <c r="J76" s="20">
        <v>0</v>
      </c>
      <c r="K76" s="20">
        <v>0</v>
      </c>
      <c r="L76" s="20">
        <v>0</v>
      </c>
      <c r="M76" s="13">
        <v>0</v>
      </c>
      <c r="N76" s="13">
        <v>0</v>
      </c>
      <c r="O76" s="20">
        <v>0</v>
      </c>
      <c r="P76" s="13">
        <f t="shared" si="30"/>
        <v>3148</v>
      </c>
    </row>
    <row r="77" spans="1:16" ht="16.149999999999999" customHeight="1" x14ac:dyDescent="0.25">
      <c r="A77" s="150"/>
      <c r="B77" s="134"/>
      <c r="C77" s="135"/>
      <c r="D77" s="136"/>
      <c r="E77" s="144"/>
      <c r="F77" s="21" t="s">
        <v>96</v>
      </c>
      <c r="G77" s="14" t="s">
        <v>13</v>
      </c>
      <c r="H77" s="22">
        <f>53-8+5</f>
        <v>50</v>
      </c>
      <c r="I77" s="23">
        <v>0</v>
      </c>
      <c r="J77" s="23">
        <v>0</v>
      </c>
      <c r="K77" s="23">
        <v>0</v>
      </c>
      <c r="L77" s="23">
        <v>0</v>
      </c>
      <c r="M77" s="15">
        <v>0</v>
      </c>
      <c r="N77" s="15">
        <v>0</v>
      </c>
      <c r="O77" s="23">
        <v>0</v>
      </c>
      <c r="P77" s="15">
        <f t="shared" si="30"/>
        <v>50</v>
      </c>
    </row>
    <row r="78" spans="1:16" ht="16.149999999999999" customHeight="1" x14ac:dyDescent="0.25">
      <c r="A78" s="151"/>
      <c r="B78" s="146"/>
      <c r="C78" s="148"/>
      <c r="D78" s="138"/>
      <c r="E78" s="141"/>
      <c r="F78" s="25"/>
      <c r="G78" s="25" t="s">
        <v>14</v>
      </c>
      <c r="H78" s="17">
        <f t="shared" ref="H78:O78" si="33">SUM(H76:H77)</f>
        <v>3198</v>
      </c>
      <c r="I78" s="17">
        <f t="shared" si="33"/>
        <v>0</v>
      </c>
      <c r="J78" s="17">
        <f t="shared" si="33"/>
        <v>0</v>
      </c>
      <c r="K78" s="17">
        <f t="shared" si="33"/>
        <v>0</v>
      </c>
      <c r="L78" s="17">
        <f t="shared" si="33"/>
        <v>0</v>
      </c>
      <c r="M78" s="17">
        <f t="shared" si="33"/>
        <v>0</v>
      </c>
      <c r="N78" s="17">
        <f t="shared" si="33"/>
        <v>0</v>
      </c>
      <c r="O78" s="17">
        <f t="shared" si="33"/>
        <v>0</v>
      </c>
      <c r="P78" s="18">
        <f t="shared" si="30"/>
        <v>3198</v>
      </c>
    </row>
    <row r="79" spans="1:16" ht="16.5" customHeight="1" x14ac:dyDescent="0.25">
      <c r="A79" s="149">
        <f t="shared" ref="A79" si="34">A76+1</f>
        <v>24</v>
      </c>
      <c r="B79" s="134" t="s">
        <v>8</v>
      </c>
      <c r="C79" s="135" t="s">
        <v>97</v>
      </c>
      <c r="D79" s="136">
        <v>40651</v>
      </c>
      <c r="E79" s="144" t="s">
        <v>94</v>
      </c>
      <c r="F79" s="24" t="s">
        <v>98</v>
      </c>
      <c r="G79" s="12" t="s">
        <v>12</v>
      </c>
      <c r="H79" s="13">
        <v>1224</v>
      </c>
      <c r="I79" s="20">
        <v>0</v>
      </c>
      <c r="J79" s="20">
        <v>0</v>
      </c>
      <c r="K79" s="20">
        <v>0</v>
      </c>
      <c r="L79" s="20">
        <v>0</v>
      </c>
      <c r="M79" s="13">
        <v>0</v>
      </c>
      <c r="N79" s="13">
        <v>0</v>
      </c>
      <c r="O79" s="20">
        <v>0</v>
      </c>
      <c r="P79" s="13">
        <f t="shared" si="30"/>
        <v>1224</v>
      </c>
    </row>
    <row r="80" spans="1:16" ht="17.25" customHeight="1" x14ac:dyDescent="0.25">
      <c r="A80" s="150"/>
      <c r="B80" s="134"/>
      <c r="C80" s="135"/>
      <c r="D80" s="136"/>
      <c r="E80" s="144"/>
      <c r="F80" s="21" t="s">
        <v>99</v>
      </c>
      <c r="G80" s="14" t="s">
        <v>13</v>
      </c>
      <c r="H80" s="22">
        <f>21-3+2</f>
        <v>20</v>
      </c>
      <c r="I80" s="23">
        <v>0</v>
      </c>
      <c r="J80" s="23">
        <v>0</v>
      </c>
      <c r="K80" s="23">
        <v>0</v>
      </c>
      <c r="L80" s="23">
        <v>0</v>
      </c>
      <c r="M80" s="15">
        <v>0</v>
      </c>
      <c r="N80" s="15">
        <v>0</v>
      </c>
      <c r="O80" s="23">
        <v>0</v>
      </c>
      <c r="P80" s="15">
        <f t="shared" si="30"/>
        <v>20</v>
      </c>
    </row>
    <row r="81" spans="1:16" ht="17.25" customHeight="1" x14ac:dyDescent="0.25">
      <c r="A81" s="151"/>
      <c r="B81" s="134"/>
      <c r="C81" s="135"/>
      <c r="D81" s="136"/>
      <c r="E81" s="144"/>
      <c r="F81" s="16"/>
      <c r="G81" s="16" t="s">
        <v>14</v>
      </c>
      <c r="H81" s="17">
        <f t="shared" ref="H81:O81" si="35">SUM(H79:H80)</f>
        <v>1244</v>
      </c>
      <c r="I81" s="17">
        <f t="shared" si="35"/>
        <v>0</v>
      </c>
      <c r="J81" s="17">
        <f t="shared" si="35"/>
        <v>0</v>
      </c>
      <c r="K81" s="17">
        <f t="shared" si="35"/>
        <v>0</v>
      </c>
      <c r="L81" s="17">
        <f t="shared" si="35"/>
        <v>0</v>
      </c>
      <c r="M81" s="17">
        <f t="shared" si="35"/>
        <v>0</v>
      </c>
      <c r="N81" s="17">
        <f t="shared" si="35"/>
        <v>0</v>
      </c>
      <c r="O81" s="17">
        <f t="shared" si="35"/>
        <v>0</v>
      </c>
      <c r="P81" s="18">
        <f t="shared" si="30"/>
        <v>1244</v>
      </c>
    </row>
    <row r="82" spans="1:16" ht="18" customHeight="1" x14ac:dyDescent="0.25">
      <c r="A82" s="149">
        <f t="shared" ref="A82" si="36">A79+1</f>
        <v>25</v>
      </c>
      <c r="B82" s="134" t="s">
        <v>8</v>
      </c>
      <c r="C82" s="145" t="s">
        <v>713</v>
      </c>
      <c r="D82" s="136">
        <v>40868</v>
      </c>
      <c r="E82" s="144" t="s">
        <v>100</v>
      </c>
      <c r="F82" s="24" t="s">
        <v>101</v>
      </c>
      <c r="G82" s="12" t="s">
        <v>12</v>
      </c>
      <c r="H82" s="13">
        <v>7306</v>
      </c>
      <c r="I82" s="20">
        <v>0</v>
      </c>
      <c r="J82" s="20">
        <v>0</v>
      </c>
      <c r="K82" s="20">
        <v>0</v>
      </c>
      <c r="L82" s="20">
        <v>0</v>
      </c>
      <c r="M82" s="13">
        <v>0</v>
      </c>
      <c r="N82" s="13">
        <v>0</v>
      </c>
      <c r="O82" s="20">
        <v>0</v>
      </c>
      <c r="P82" s="13">
        <f t="shared" si="30"/>
        <v>7306</v>
      </c>
    </row>
    <row r="83" spans="1:16" ht="15.75" customHeight="1" x14ac:dyDescent="0.25">
      <c r="A83" s="150"/>
      <c r="B83" s="134"/>
      <c r="C83" s="135"/>
      <c r="D83" s="136"/>
      <c r="E83" s="144"/>
      <c r="F83" s="21" t="s">
        <v>102</v>
      </c>
      <c r="G83" s="14" t="s">
        <v>13</v>
      </c>
      <c r="H83" s="15">
        <f>147+15</f>
        <v>162</v>
      </c>
      <c r="I83" s="23">
        <v>6</v>
      </c>
      <c r="J83" s="23">
        <v>0</v>
      </c>
      <c r="K83" s="23">
        <v>0</v>
      </c>
      <c r="L83" s="23">
        <v>0</v>
      </c>
      <c r="M83" s="15">
        <v>0</v>
      </c>
      <c r="N83" s="15">
        <v>0</v>
      </c>
      <c r="O83" s="23">
        <v>0</v>
      </c>
      <c r="P83" s="15">
        <f t="shared" si="30"/>
        <v>168</v>
      </c>
    </row>
    <row r="84" spans="1:16" ht="15.75" customHeight="1" x14ac:dyDescent="0.25">
      <c r="A84" s="151"/>
      <c r="B84" s="134"/>
      <c r="C84" s="135"/>
      <c r="D84" s="136"/>
      <c r="E84" s="144"/>
      <c r="F84" s="16"/>
      <c r="G84" s="16" t="s">
        <v>14</v>
      </c>
      <c r="H84" s="17">
        <f t="shared" ref="H84:O84" si="37">SUM(H82:H83)</f>
        <v>7468</v>
      </c>
      <c r="I84" s="17">
        <f t="shared" si="37"/>
        <v>6</v>
      </c>
      <c r="J84" s="17">
        <f t="shared" si="37"/>
        <v>0</v>
      </c>
      <c r="K84" s="17">
        <f t="shared" si="37"/>
        <v>0</v>
      </c>
      <c r="L84" s="17">
        <f>SUM(L82:L83)</f>
        <v>0</v>
      </c>
      <c r="M84" s="17">
        <f t="shared" ref="M84:N84" si="38">SUM(M82:M83)</f>
        <v>0</v>
      </c>
      <c r="N84" s="17">
        <f t="shared" si="38"/>
        <v>0</v>
      </c>
      <c r="O84" s="17">
        <f t="shared" si="37"/>
        <v>0</v>
      </c>
      <c r="P84" s="18">
        <f t="shared" si="30"/>
        <v>7474</v>
      </c>
    </row>
    <row r="85" spans="1:16" ht="19.149999999999999" customHeight="1" x14ac:dyDescent="0.25">
      <c r="A85" s="149">
        <f t="shared" ref="A85" si="39">A82+1</f>
        <v>26</v>
      </c>
      <c r="B85" s="134" t="s">
        <v>8</v>
      </c>
      <c r="C85" s="135" t="s">
        <v>103</v>
      </c>
      <c r="D85" s="136">
        <v>40932</v>
      </c>
      <c r="E85" s="144" t="s">
        <v>104</v>
      </c>
      <c r="F85" s="24" t="s">
        <v>105</v>
      </c>
      <c r="G85" s="12" t="s">
        <v>12</v>
      </c>
      <c r="H85" s="13">
        <v>22528</v>
      </c>
      <c r="I85" s="13">
        <v>22528</v>
      </c>
      <c r="J85" s="13">
        <v>22528</v>
      </c>
      <c r="K85" s="13">
        <v>22528</v>
      </c>
      <c r="L85" s="13">
        <v>22528</v>
      </c>
      <c r="M85" s="13">
        <v>22528</v>
      </c>
      <c r="N85" s="13">
        <v>5614</v>
      </c>
      <c r="O85" s="13">
        <v>0</v>
      </c>
      <c r="P85" s="13">
        <f t="shared" si="30"/>
        <v>140782</v>
      </c>
    </row>
    <row r="86" spans="1:16" ht="15.6" customHeight="1" x14ac:dyDescent="0.25">
      <c r="A86" s="150"/>
      <c r="B86" s="134"/>
      <c r="C86" s="135"/>
      <c r="D86" s="136"/>
      <c r="E86" s="144"/>
      <c r="F86" s="21" t="s">
        <v>106</v>
      </c>
      <c r="G86" s="14" t="s">
        <v>13</v>
      </c>
      <c r="H86" s="22">
        <f>3340+348</f>
        <v>3688</v>
      </c>
      <c r="I86" s="22">
        <f>2618+291</f>
        <v>2909</v>
      </c>
      <c r="J86" s="15">
        <f>2109+234</f>
        <v>2343</v>
      </c>
      <c r="K86" s="15">
        <f>1589+177</f>
        <v>1766</v>
      </c>
      <c r="L86" s="15">
        <f>1075+119</f>
        <v>1194</v>
      </c>
      <c r="M86" s="15">
        <f>562+62</f>
        <v>624</v>
      </c>
      <c r="N86" s="15">
        <f>68+7</f>
        <v>75</v>
      </c>
      <c r="O86" s="22">
        <v>0</v>
      </c>
      <c r="P86" s="15">
        <f t="shared" si="30"/>
        <v>12599</v>
      </c>
    </row>
    <row r="87" spans="1:16" ht="16.149999999999999" customHeight="1" x14ac:dyDescent="0.25">
      <c r="A87" s="151"/>
      <c r="B87" s="134"/>
      <c r="C87" s="135"/>
      <c r="D87" s="136"/>
      <c r="E87" s="144"/>
      <c r="F87" s="16"/>
      <c r="G87" s="16" t="s">
        <v>14</v>
      </c>
      <c r="H87" s="17">
        <f t="shared" ref="H87:O87" si="40">SUM(H85:H86)</f>
        <v>26216</v>
      </c>
      <c r="I87" s="17">
        <f t="shared" si="40"/>
        <v>25437</v>
      </c>
      <c r="J87" s="17">
        <f t="shared" si="40"/>
        <v>24871</v>
      </c>
      <c r="K87" s="17">
        <f t="shared" si="40"/>
        <v>24294</v>
      </c>
      <c r="L87" s="17">
        <f t="shared" si="40"/>
        <v>23722</v>
      </c>
      <c r="M87" s="17">
        <f t="shared" si="40"/>
        <v>23152</v>
      </c>
      <c r="N87" s="17">
        <f t="shared" si="40"/>
        <v>5689</v>
      </c>
      <c r="O87" s="17">
        <f t="shared" si="40"/>
        <v>0</v>
      </c>
      <c r="P87" s="18">
        <f t="shared" si="30"/>
        <v>153381</v>
      </c>
    </row>
    <row r="88" spans="1:16" ht="14.25" customHeight="1" x14ac:dyDescent="0.25">
      <c r="A88" s="149">
        <f t="shared" ref="A88" si="41">A85+1</f>
        <v>27</v>
      </c>
      <c r="B88" s="134" t="s">
        <v>8</v>
      </c>
      <c r="C88" s="135" t="s">
        <v>107</v>
      </c>
      <c r="D88" s="156">
        <v>41019</v>
      </c>
      <c r="E88" s="144" t="s">
        <v>75</v>
      </c>
      <c r="F88" s="24" t="s">
        <v>108</v>
      </c>
      <c r="G88" s="12" t="s">
        <v>12</v>
      </c>
      <c r="H88" s="13">
        <v>2024</v>
      </c>
      <c r="I88" s="13">
        <v>2024</v>
      </c>
      <c r="J88" s="13">
        <v>2024</v>
      </c>
      <c r="K88" s="13">
        <v>2024</v>
      </c>
      <c r="L88" s="13">
        <v>2014</v>
      </c>
      <c r="M88" s="13">
        <v>0</v>
      </c>
      <c r="N88" s="13">
        <v>0</v>
      </c>
      <c r="O88" s="13">
        <v>0</v>
      </c>
      <c r="P88" s="13">
        <f t="shared" si="30"/>
        <v>10110</v>
      </c>
    </row>
    <row r="89" spans="1:16" ht="15.75" customHeight="1" x14ac:dyDescent="0.25">
      <c r="A89" s="150"/>
      <c r="B89" s="134"/>
      <c r="C89" s="135"/>
      <c r="D89" s="156"/>
      <c r="E89" s="144"/>
      <c r="F89" s="21" t="s">
        <v>109</v>
      </c>
      <c r="G89" s="14" t="s">
        <v>13</v>
      </c>
      <c r="H89" s="22">
        <f>265-40+25</f>
        <v>250</v>
      </c>
      <c r="I89" s="22">
        <f>177+20</f>
        <v>197</v>
      </c>
      <c r="J89" s="15">
        <f>131+14</f>
        <v>145</v>
      </c>
      <c r="K89" s="15">
        <f>85+9</f>
        <v>94</v>
      </c>
      <c r="L89" s="15">
        <f>38+4</f>
        <v>42</v>
      </c>
      <c r="M89" s="15">
        <v>3</v>
      </c>
      <c r="N89" s="15">
        <v>0</v>
      </c>
      <c r="O89" s="15">
        <v>0</v>
      </c>
      <c r="P89" s="15">
        <f t="shared" si="30"/>
        <v>731</v>
      </c>
    </row>
    <row r="90" spans="1:16" ht="15.75" customHeight="1" x14ac:dyDescent="0.25">
      <c r="A90" s="151"/>
      <c r="B90" s="134"/>
      <c r="C90" s="135"/>
      <c r="D90" s="156"/>
      <c r="E90" s="144"/>
      <c r="F90" s="16"/>
      <c r="G90" s="16" t="s">
        <v>14</v>
      </c>
      <c r="H90" s="17">
        <f t="shared" ref="H90:O90" si="42">SUM(H88:H89)</f>
        <v>2274</v>
      </c>
      <c r="I90" s="17">
        <f t="shared" si="42"/>
        <v>2221</v>
      </c>
      <c r="J90" s="17">
        <f t="shared" si="42"/>
        <v>2169</v>
      </c>
      <c r="K90" s="17">
        <f t="shared" si="42"/>
        <v>2118</v>
      </c>
      <c r="L90" s="17">
        <f t="shared" si="42"/>
        <v>2056</v>
      </c>
      <c r="M90" s="17">
        <f t="shared" si="42"/>
        <v>3</v>
      </c>
      <c r="N90" s="17">
        <f t="shared" si="42"/>
        <v>0</v>
      </c>
      <c r="O90" s="17">
        <f t="shared" si="42"/>
        <v>0</v>
      </c>
      <c r="P90" s="18">
        <f t="shared" si="30"/>
        <v>10841</v>
      </c>
    </row>
    <row r="91" spans="1:16" ht="18.600000000000001" customHeight="1" x14ac:dyDescent="0.25">
      <c r="A91" s="149">
        <f t="shared" ref="A91" si="43">A88+1</f>
        <v>28</v>
      </c>
      <c r="B91" s="134" t="s">
        <v>8</v>
      </c>
      <c r="C91" s="135" t="s">
        <v>110</v>
      </c>
      <c r="D91" s="156">
        <v>41019</v>
      </c>
      <c r="E91" s="144" t="s">
        <v>111</v>
      </c>
      <c r="F91" s="24" t="s">
        <v>112</v>
      </c>
      <c r="G91" s="12" t="s">
        <v>12</v>
      </c>
      <c r="H91" s="28">
        <v>7968</v>
      </c>
      <c r="I91" s="28">
        <v>7968</v>
      </c>
      <c r="J91" s="13">
        <v>7968</v>
      </c>
      <c r="K91" s="13">
        <v>7968</v>
      </c>
      <c r="L91" s="13">
        <v>7968</v>
      </c>
      <c r="M91" s="13">
        <v>7968</v>
      </c>
      <c r="N91" s="13">
        <v>7968</v>
      </c>
      <c r="O91" s="13">
        <f>97538-7803+1890-7968-7968</f>
        <v>75689</v>
      </c>
      <c r="P91" s="13">
        <f t="shared" si="30"/>
        <v>131465</v>
      </c>
    </row>
    <row r="92" spans="1:16" ht="15.6" customHeight="1" x14ac:dyDescent="0.25">
      <c r="A92" s="150"/>
      <c r="B92" s="134"/>
      <c r="C92" s="135"/>
      <c r="D92" s="156"/>
      <c r="E92" s="144"/>
      <c r="F92" s="21" t="s">
        <v>113</v>
      </c>
      <c r="G92" s="14" t="s">
        <v>13</v>
      </c>
      <c r="H92" s="22">
        <f>3006+330</f>
        <v>3336</v>
      </c>
      <c r="I92" s="22">
        <f>2789+310</f>
        <v>3099</v>
      </c>
      <c r="J92" s="15">
        <f>2614+290</f>
        <v>2904</v>
      </c>
      <c r="K92" s="15">
        <f>2425+269</f>
        <v>2694</v>
      </c>
      <c r="L92" s="15">
        <f>2243+249</f>
        <v>2492</v>
      </c>
      <c r="M92" s="15">
        <f>2062+229</f>
        <v>2291</v>
      </c>
      <c r="N92" s="15">
        <f>1886+209</f>
        <v>2095</v>
      </c>
      <c r="O92" s="22">
        <f>8802+978</f>
        <v>9780</v>
      </c>
      <c r="P92" s="15">
        <f t="shared" si="30"/>
        <v>28691</v>
      </c>
    </row>
    <row r="93" spans="1:16" ht="15" customHeight="1" x14ac:dyDescent="0.25">
      <c r="A93" s="151"/>
      <c r="B93" s="134"/>
      <c r="C93" s="135"/>
      <c r="D93" s="156"/>
      <c r="E93" s="144"/>
      <c r="F93" s="16"/>
      <c r="G93" s="16" t="s">
        <v>14</v>
      </c>
      <c r="H93" s="17">
        <f t="shared" ref="H93:O93" si="44">SUM(H91:H92)</f>
        <v>11304</v>
      </c>
      <c r="I93" s="17">
        <f t="shared" si="44"/>
        <v>11067</v>
      </c>
      <c r="J93" s="17">
        <f t="shared" si="44"/>
        <v>10872</v>
      </c>
      <c r="K93" s="17">
        <f t="shared" si="44"/>
        <v>10662</v>
      </c>
      <c r="L93" s="17">
        <f t="shared" si="44"/>
        <v>10460</v>
      </c>
      <c r="M93" s="17">
        <f t="shared" si="44"/>
        <v>10259</v>
      </c>
      <c r="N93" s="17">
        <f t="shared" si="44"/>
        <v>10063</v>
      </c>
      <c r="O93" s="17">
        <f t="shared" si="44"/>
        <v>85469</v>
      </c>
      <c r="P93" s="18">
        <f t="shared" si="30"/>
        <v>160156</v>
      </c>
    </row>
    <row r="94" spans="1:16" ht="16.149999999999999" customHeight="1" x14ac:dyDescent="0.25">
      <c r="A94" s="149">
        <f t="shared" ref="A94" si="45">A91+1</f>
        <v>29</v>
      </c>
      <c r="B94" s="134" t="s">
        <v>8</v>
      </c>
      <c r="C94" s="135" t="s">
        <v>114</v>
      </c>
      <c r="D94" s="156">
        <v>41019</v>
      </c>
      <c r="E94" s="144" t="s">
        <v>111</v>
      </c>
      <c r="F94" s="24" t="s">
        <v>115</v>
      </c>
      <c r="G94" s="12" t="s">
        <v>12</v>
      </c>
      <c r="H94" s="13">
        <v>3496</v>
      </c>
      <c r="I94" s="13">
        <v>3496</v>
      </c>
      <c r="J94" s="13">
        <v>3496</v>
      </c>
      <c r="K94" s="13">
        <v>3496</v>
      </c>
      <c r="L94" s="13">
        <v>3496</v>
      </c>
      <c r="M94" s="13">
        <v>3496</v>
      </c>
      <c r="N94" s="13">
        <v>3496</v>
      </c>
      <c r="O94" s="13">
        <f>42754-3421+814-3496-3496</f>
        <v>33155</v>
      </c>
      <c r="P94" s="13">
        <f t="shared" si="30"/>
        <v>57627</v>
      </c>
    </row>
    <row r="95" spans="1:16" ht="16.149999999999999" customHeight="1" x14ac:dyDescent="0.25">
      <c r="A95" s="150"/>
      <c r="B95" s="134"/>
      <c r="C95" s="135"/>
      <c r="D95" s="156"/>
      <c r="E95" s="144"/>
      <c r="F95" s="21" t="s">
        <v>116</v>
      </c>
      <c r="G95" s="14" t="s">
        <v>13</v>
      </c>
      <c r="H95" s="22">
        <f>1318+145</f>
        <v>1463</v>
      </c>
      <c r="I95" s="22">
        <f>1222+135</f>
        <v>1357</v>
      </c>
      <c r="J95" s="15">
        <f>1146+127</f>
        <v>1273</v>
      </c>
      <c r="K95" s="15">
        <f>1063+118</f>
        <v>1181</v>
      </c>
      <c r="L95" s="15">
        <f>983+109</f>
        <v>1092</v>
      </c>
      <c r="M95" s="15">
        <f>903+100</f>
        <v>1003</v>
      </c>
      <c r="N95" s="15">
        <f>826+92</f>
        <v>918</v>
      </c>
      <c r="O95" s="22">
        <f>3850+428</f>
        <v>4278</v>
      </c>
      <c r="P95" s="15">
        <f t="shared" si="30"/>
        <v>12565</v>
      </c>
    </row>
    <row r="96" spans="1:16" ht="16.149999999999999" customHeight="1" x14ac:dyDescent="0.25">
      <c r="A96" s="151"/>
      <c r="B96" s="146"/>
      <c r="C96" s="148"/>
      <c r="D96" s="157"/>
      <c r="E96" s="141"/>
      <c r="F96" s="25"/>
      <c r="G96" s="25" t="s">
        <v>14</v>
      </c>
      <c r="H96" s="17">
        <f t="shared" ref="H96:O96" si="46">SUM(H94:H95)</f>
        <v>4959</v>
      </c>
      <c r="I96" s="17">
        <f t="shared" si="46"/>
        <v>4853</v>
      </c>
      <c r="J96" s="17">
        <f t="shared" si="46"/>
        <v>4769</v>
      </c>
      <c r="K96" s="17">
        <f t="shared" si="46"/>
        <v>4677</v>
      </c>
      <c r="L96" s="17">
        <f t="shared" si="46"/>
        <v>4588</v>
      </c>
      <c r="M96" s="17">
        <f t="shared" si="46"/>
        <v>4499</v>
      </c>
      <c r="N96" s="17">
        <f t="shared" si="46"/>
        <v>4414</v>
      </c>
      <c r="O96" s="17">
        <f t="shared" si="46"/>
        <v>37433</v>
      </c>
      <c r="P96" s="18">
        <f t="shared" si="30"/>
        <v>70192</v>
      </c>
    </row>
    <row r="97" spans="1:16" ht="16.5" customHeight="1" x14ac:dyDescent="0.25">
      <c r="A97" s="149">
        <f t="shared" ref="A97" si="47">A94+1</f>
        <v>30</v>
      </c>
      <c r="B97" s="134" t="s">
        <v>8</v>
      </c>
      <c r="C97" s="135" t="s">
        <v>117</v>
      </c>
      <c r="D97" s="136">
        <v>41100</v>
      </c>
      <c r="E97" s="144" t="s">
        <v>118</v>
      </c>
      <c r="F97" s="24" t="s">
        <v>119</v>
      </c>
      <c r="G97" s="12" t="s">
        <v>12</v>
      </c>
      <c r="H97" s="13">
        <v>3648</v>
      </c>
      <c r="I97" s="13">
        <v>3648</v>
      </c>
      <c r="J97" s="13">
        <v>3648</v>
      </c>
      <c r="K97" s="13">
        <v>3648</v>
      </c>
      <c r="L97" s="13">
        <v>3648</v>
      </c>
      <c r="M97" s="13">
        <v>3648</v>
      </c>
      <c r="N97" s="13">
        <v>3648</v>
      </c>
      <c r="O97" s="13">
        <f>45426-3563+966-3648-3648</f>
        <v>35533</v>
      </c>
      <c r="P97" s="13">
        <f t="shared" si="30"/>
        <v>61069</v>
      </c>
    </row>
    <row r="98" spans="1:16" ht="15.75" customHeight="1" x14ac:dyDescent="0.25">
      <c r="A98" s="150"/>
      <c r="B98" s="134"/>
      <c r="C98" s="135"/>
      <c r="D98" s="136"/>
      <c r="E98" s="144"/>
      <c r="F98" s="21" t="s">
        <v>120</v>
      </c>
      <c r="G98" s="14" t="s">
        <v>13</v>
      </c>
      <c r="H98" s="15">
        <f>1340+153</f>
        <v>1493</v>
      </c>
      <c r="I98" s="15">
        <f>1297+144</f>
        <v>1441</v>
      </c>
      <c r="J98" s="15">
        <f>1217+135</f>
        <v>1352</v>
      </c>
      <c r="K98" s="15">
        <f>1130+126</f>
        <v>1256</v>
      </c>
      <c r="L98" s="15">
        <f>1047+116</f>
        <v>1163</v>
      </c>
      <c r="M98" s="15">
        <f>964+107</f>
        <v>1071</v>
      </c>
      <c r="N98" s="15">
        <f>883+98</f>
        <v>981</v>
      </c>
      <c r="O98" s="22">
        <f>4230+470</f>
        <v>4700</v>
      </c>
      <c r="P98" s="15">
        <f t="shared" si="30"/>
        <v>13457</v>
      </c>
    </row>
    <row r="99" spans="1:16" ht="18" customHeight="1" x14ac:dyDescent="0.25">
      <c r="A99" s="151"/>
      <c r="B99" s="134"/>
      <c r="C99" s="135"/>
      <c r="D99" s="136"/>
      <c r="E99" s="144"/>
      <c r="F99" s="16"/>
      <c r="G99" s="16" t="s">
        <v>14</v>
      </c>
      <c r="H99" s="17">
        <f t="shared" ref="H99:O99" si="48">SUM(H97:H98)</f>
        <v>5141</v>
      </c>
      <c r="I99" s="17">
        <f t="shared" si="48"/>
        <v>5089</v>
      </c>
      <c r="J99" s="17">
        <f t="shared" si="48"/>
        <v>5000</v>
      </c>
      <c r="K99" s="17">
        <f t="shared" si="48"/>
        <v>4904</v>
      </c>
      <c r="L99" s="17">
        <f t="shared" si="48"/>
        <v>4811</v>
      </c>
      <c r="M99" s="17">
        <f t="shared" si="48"/>
        <v>4719</v>
      </c>
      <c r="N99" s="17">
        <f t="shared" si="48"/>
        <v>4629</v>
      </c>
      <c r="O99" s="17">
        <f t="shared" si="48"/>
        <v>40233</v>
      </c>
      <c r="P99" s="18">
        <f t="shared" si="30"/>
        <v>74526</v>
      </c>
    </row>
    <row r="100" spans="1:16" ht="15.75" customHeight="1" x14ac:dyDescent="0.25">
      <c r="A100" s="149">
        <f t="shared" ref="A100" si="49">A97+1</f>
        <v>31</v>
      </c>
      <c r="B100" s="134" t="s">
        <v>8</v>
      </c>
      <c r="C100" s="135" t="s">
        <v>121</v>
      </c>
      <c r="D100" s="136">
        <v>41142</v>
      </c>
      <c r="E100" s="144" t="s">
        <v>122</v>
      </c>
      <c r="F100" s="24" t="s">
        <v>123</v>
      </c>
      <c r="G100" s="12" t="s">
        <v>12</v>
      </c>
      <c r="H100" s="13">
        <v>5432</v>
      </c>
      <c r="I100" s="13">
        <v>5432</v>
      </c>
      <c r="J100" s="13">
        <v>5432</v>
      </c>
      <c r="K100" s="13">
        <v>5432</v>
      </c>
      <c r="L100" s="13">
        <v>5432</v>
      </c>
      <c r="M100" s="13">
        <v>5432</v>
      </c>
      <c r="N100" s="13">
        <v>5432</v>
      </c>
      <c r="O100" s="13">
        <f>67626-5304+1471-5432-5432</f>
        <v>52929</v>
      </c>
      <c r="P100" s="13">
        <f t="shared" si="30"/>
        <v>90953</v>
      </c>
    </row>
    <row r="101" spans="1:16" ht="15.75" customHeight="1" x14ac:dyDescent="0.25">
      <c r="A101" s="150"/>
      <c r="B101" s="134"/>
      <c r="C101" s="135"/>
      <c r="D101" s="136"/>
      <c r="E101" s="144"/>
      <c r="F101" s="21" t="s">
        <v>124</v>
      </c>
      <c r="G101" s="14" t="s">
        <v>13</v>
      </c>
      <c r="H101" s="15">
        <f>2026+228</f>
        <v>2254</v>
      </c>
      <c r="I101" s="15">
        <f>1932+215</f>
        <v>2147</v>
      </c>
      <c r="J101" s="15">
        <f>1812+201</f>
        <v>2013</v>
      </c>
      <c r="K101" s="15">
        <f>1684+187</f>
        <v>1871</v>
      </c>
      <c r="L101" s="15">
        <f>1560+173</f>
        <v>1733</v>
      </c>
      <c r="M101" s="15">
        <f>1436+160</f>
        <v>1596</v>
      </c>
      <c r="N101" s="15">
        <f>1316+146</f>
        <v>1462</v>
      </c>
      <c r="O101" s="22">
        <f>6306+701</f>
        <v>7007</v>
      </c>
      <c r="P101" s="15">
        <f t="shared" si="30"/>
        <v>20083</v>
      </c>
    </row>
    <row r="102" spans="1:16" ht="15.75" customHeight="1" x14ac:dyDescent="0.25">
      <c r="A102" s="151"/>
      <c r="B102" s="134"/>
      <c r="C102" s="135"/>
      <c r="D102" s="136"/>
      <c r="E102" s="144"/>
      <c r="F102" s="16"/>
      <c r="G102" s="16" t="s">
        <v>14</v>
      </c>
      <c r="H102" s="17">
        <f t="shared" ref="H102:O102" si="50">SUM(H100:H101)</f>
        <v>7686</v>
      </c>
      <c r="I102" s="17">
        <f t="shared" si="50"/>
        <v>7579</v>
      </c>
      <c r="J102" s="17">
        <f t="shared" si="50"/>
        <v>7445</v>
      </c>
      <c r="K102" s="17">
        <f t="shared" si="50"/>
        <v>7303</v>
      </c>
      <c r="L102" s="17">
        <f t="shared" si="50"/>
        <v>7165</v>
      </c>
      <c r="M102" s="17">
        <f t="shared" si="50"/>
        <v>7028</v>
      </c>
      <c r="N102" s="17">
        <f t="shared" si="50"/>
        <v>6894</v>
      </c>
      <c r="O102" s="17">
        <f t="shared" si="50"/>
        <v>59936</v>
      </c>
      <c r="P102" s="18">
        <f t="shared" si="30"/>
        <v>111036</v>
      </c>
    </row>
    <row r="103" spans="1:16" ht="17.25" customHeight="1" x14ac:dyDescent="0.25">
      <c r="A103" s="149">
        <f t="shared" ref="A103" si="51">A100+1</f>
        <v>32</v>
      </c>
      <c r="B103" s="134" t="s">
        <v>8</v>
      </c>
      <c r="C103" s="135" t="s">
        <v>125</v>
      </c>
      <c r="D103" s="136">
        <v>41150</v>
      </c>
      <c r="E103" s="144" t="s">
        <v>126</v>
      </c>
      <c r="F103" s="24" t="s">
        <v>127</v>
      </c>
      <c r="G103" s="12" t="s">
        <v>12</v>
      </c>
      <c r="H103" s="13">
        <v>6872</v>
      </c>
      <c r="I103" s="13">
        <v>5144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0">
        <v>0</v>
      </c>
      <c r="P103" s="13">
        <f t="shared" si="30"/>
        <v>12016</v>
      </c>
    </row>
    <row r="104" spans="1:16" ht="15.75" customHeight="1" x14ac:dyDescent="0.25">
      <c r="A104" s="150"/>
      <c r="B104" s="134"/>
      <c r="C104" s="135"/>
      <c r="D104" s="136"/>
      <c r="E104" s="144"/>
      <c r="F104" s="29" t="s">
        <v>128</v>
      </c>
      <c r="G104" s="14" t="s">
        <v>13</v>
      </c>
      <c r="H104" s="15">
        <f>246+28</f>
        <v>274</v>
      </c>
      <c r="I104" s="15">
        <f>89+10</f>
        <v>99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23">
        <v>0</v>
      </c>
      <c r="P104" s="15">
        <f t="shared" si="30"/>
        <v>373</v>
      </c>
    </row>
    <row r="105" spans="1:16" ht="16.5" customHeight="1" x14ac:dyDescent="0.25">
      <c r="A105" s="151"/>
      <c r="B105" s="134"/>
      <c r="C105" s="135"/>
      <c r="D105" s="136"/>
      <c r="E105" s="144"/>
      <c r="F105" s="16"/>
      <c r="G105" s="16" t="s">
        <v>14</v>
      </c>
      <c r="H105" s="17">
        <f t="shared" ref="H105:O105" si="52">SUM(H103:H104)</f>
        <v>7146</v>
      </c>
      <c r="I105" s="17">
        <f t="shared" si="52"/>
        <v>5243</v>
      </c>
      <c r="J105" s="17">
        <f t="shared" si="52"/>
        <v>0</v>
      </c>
      <c r="K105" s="17">
        <f t="shared" si="52"/>
        <v>0</v>
      </c>
      <c r="L105" s="17">
        <f t="shared" si="52"/>
        <v>0</v>
      </c>
      <c r="M105" s="17">
        <f t="shared" si="52"/>
        <v>0</v>
      </c>
      <c r="N105" s="17">
        <f t="shared" si="52"/>
        <v>0</v>
      </c>
      <c r="O105" s="17">
        <f t="shared" si="52"/>
        <v>0</v>
      </c>
      <c r="P105" s="18">
        <f t="shared" si="30"/>
        <v>12389</v>
      </c>
    </row>
    <row r="106" spans="1:16" ht="16.149999999999999" customHeight="1" x14ac:dyDescent="0.25">
      <c r="A106" s="149">
        <f t="shared" ref="A106" si="53">A103+1</f>
        <v>33</v>
      </c>
      <c r="B106" s="134" t="s">
        <v>8</v>
      </c>
      <c r="C106" s="135" t="s">
        <v>129</v>
      </c>
      <c r="D106" s="136">
        <v>41211</v>
      </c>
      <c r="E106" s="144" t="s">
        <v>130</v>
      </c>
      <c r="F106" s="24" t="s">
        <v>131</v>
      </c>
      <c r="G106" s="12" t="s">
        <v>12</v>
      </c>
      <c r="H106" s="13">
        <v>6676</v>
      </c>
      <c r="I106" s="13">
        <v>6673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0">
        <v>0</v>
      </c>
      <c r="P106" s="13">
        <f t="shared" si="30"/>
        <v>13349</v>
      </c>
    </row>
    <row r="107" spans="1:16" ht="17.25" customHeight="1" x14ac:dyDescent="0.25">
      <c r="A107" s="150"/>
      <c r="B107" s="134"/>
      <c r="C107" s="135"/>
      <c r="D107" s="136"/>
      <c r="E107" s="144"/>
      <c r="F107" s="21" t="s">
        <v>132</v>
      </c>
      <c r="G107" s="14" t="s">
        <v>13</v>
      </c>
      <c r="H107" s="15">
        <f>287+31</f>
        <v>318</v>
      </c>
      <c r="I107" s="15">
        <f>129+14</f>
        <v>143</v>
      </c>
      <c r="J107" s="15">
        <v>2</v>
      </c>
      <c r="K107" s="15">
        <v>0</v>
      </c>
      <c r="L107" s="15">
        <v>0</v>
      </c>
      <c r="M107" s="15">
        <v>0</v>
      </c>
      <c r="N107" s="15">
        <v>0</v>
      </c>
      <c r="O107" s="23">
        <v>0</v>
      </c>
      <c r="P107" s="15">
        <f t="shared" si="30"/>
        <v>463</v>
      </c>
    </row>
    <row r="108" spans="1:16" ht="17.25" customHeight="1" x14ac:dyDescent="0.25">
      <c r="A108" s="151"/>
      <c r="B108" s="146"/>
      <c r="C108" s="148"/>
      <c r="D108" s="138"/>
      <c r="E108" s="141"/>
      <c r="F108" s="25"/>
      <c r="G108" s="25" t="s">
        <v>14</v>
      </c>
      <c r="H108" s="17">
        <f t="shared" ref="H108:O108" si="54">SUM(H106:H107)</f>
        <v>6994</v>
      </c>
      <c r="I108" s="17">
        <f t="shared" si="54"/>
        <v>6816</v>
      </c>
      <c r="J108" s="17">
        <f t="shared" si="54"/>
        <v>2</v>
      </c>
      <c r="K108" s="17">
        <f t="shared" si="54"/>
        <v>0</v>
      </c>
      <c r="L108" s="17">
        <f t="shared" si="54"/>
        <v>0</v>
      </c>
      <c r="M108" s="17">
        <f t="shared" si="54"/>
        <v>0</v>
      </c>
      <c r="N108" s="17">
        <f t="shared" si="54"/>
        <v>0</v>
      </c>
      <c r="O108" s="17">
        <f t="shared" si="54"/>
        <v>0</v>
      </c>
      <c r="P108" s="18">
        <f t="shared" si="30"/>
        <v>13812</v>
      </c>
    </row>
    <row r="109" spans="1:16" ht="19.899999999999999" customHeight="1" x14ac:dyDescent="0.25">
      <c r="A109" s="149">
        <f t="shared" ref="A109" si="55">A106+1</f>
        <v>34</v>
      </c>
      <c r="B109" s="134" t="s">
        <v>8</v>
      </c>
      <c r="C109" s="135" t="s">
        <v>133</v>
      </c>
      <c r="D109" s="136">
        <v>41229</v>
      </c>
      <c r="E109" s="144" t="s">
        <v>134</v>
      </c>
      <c r="F109" s="24" t="s">
        <v>135</v>
      </c>
      <c r="G109" s="12" t="s">
        <v>12</v>
      </c>
      <c r="H109" s="13">
        <v>7528</v>
      </c>
      <c r="I109" s="13">
        <v>7527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0">
        <v>0</v>
      </c>
      <c r="P109" s="13">
        <f t="shared" si="30"/>
        <v>15055</v>
      </c>
    </row>
    <row r="110" spans="1:16" ht="15.75" customHeight="1" x14ac:dyDescent="0.25">
      <c r="A110" s="150"/>
      <c r="B110" s="134"/>
      <c r="C110" s="135"/>
      <c r="D110" s="136"/>
      <c r="E110" s="144"/>
      <c r="F110" s="21" t="s">
        <v>136</v>
      </c>
      <c r="G110" s="14" t="s">
        <v>13</v>
      </c>
      <c r="H110" s="15">
        <f>322+35</f>
        <v>357</v>
      </c>
      <c r="I110" s="15">
        <f>144+16</f>
        <v>160</v>
      </c>
      <c r="J110" s="15">
        <v>7</v>
      </c>
      <c r="K110" s="15">
        <v>0</v>
      </c>
      <c r="L110" s="15">
        <v>0</v>
      </c>
      <c r="M110" s="15">
        <v>0</v>
      </c>
      <c r="N110" s="15">
        <v>0</v>
      </c>
      <c r="O110" s="23">
        <v>0</v>
      </c>
      <c r="P110" s="15">
        <f t="shared" si="30"/>
        <v>524</v>
      </c>
    </row>
    <row r="111" spans="1:16" ht="15.75" customHeight="1" x14ac:dyDescent="0.25">
      <c r="A111" s="151"/>
      <c r="B111" s="134"/>
      <c r="C111" s="135"/>
      <c r="D111" s="136"/>
      <c r="E111" s="144"/>
      <c r="F111" s="16"/>
      <c r="G111" s="16" t="s">
        <v>14</v>
      </c>
      <c r="H111" s="17">
        <f t="shared" ref="H111:O111" si="56">SUM(H109:H110)</f>
        <v>7885</v>
      </c>
      <c r="I111" s="17">
        <f t="shared" si="56"/>
        <v>7687</v>
      </c>
      <c r="J111" s="17">
        <f t="shared" si="56"/>
        <v>7</v>
      </c>
      <c r="K111" s="17">
        <f t="shared" si="56"/>
        <v>0</v>
      </c>
      <c r="L111" s="17">
        <f t="shared" si="56"/>
        <v>0</v>
      </c>
      <c r="M111" s="17">
        <f t="shared" si="56"/>
        <v>0</v>
      </c>
      <c r="N111" s="17">
        <f t="shared" si="56"/>
        <v>0</v>
      </c>
      <c r="O111" s="17">
        <f t="shared" si="56"/>
        <v>0</v>
      </c>
      <c r="P111" s="18">
        <f t="shared" si="30"/>
        <v>15579</v>
      </c>
    </row>
    <row r="112" spans="1:16" ht="16.5" customHeight="1" x14ac:dyDescent="0.25">
      <c r="A112" s="149">
        <f t="shared" ref="A112" si="57">A109+1</f>
        <v>35</v>
      </c>
      <c r="B112" s="134" t="s">
        <v>8</v>
      </c>
      <c r="C112" s="135" t="s">
        <v>129</v>
      </c>
      <c r="D112" s="136">
        <v>41311</v>
      </c>
      <c r="E112" s="144" t="s">
        <v>137</v>
      </c>
      <c r="F112" s="24" t="s">
        <v>138</v>
      </c>
      <c r="G112" s="12" t="s">
        <v>12</v>
      </c>
      <c r="H112" s="13">
        <v>22428</v>
      </c>
      <c r="I112" s="13">
        <v>22428</v>
      </c>
      <c r="J112" s="13">
        <f>5544+62</f>
        <v>5606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f t="shared" si="30"/>
        <v>50462</v>
      </c>
    </row>
    <row r="113" spans="1:16" ht="15" customHeight="1" x14ac:dyDescent="0.25">
      <c r="A113" s="150"/>
      <c r="B113" s="134"/>
      <c r="C113" s="135"/>
      <c r="D113" s="136"/>
      <c r="E113" s="144"/>
      <c r="F113" s="21" t="s">
        <v>139</v>
      </c>
      <c r="G113" s="14" t="s">
        <v>13</v>
      </c>
      <c r="H113" s="22">
        <f>1157+119</f>
        <v>1276</v>
      </c>
      <c r="I113" s="22">
        <f>561+62</f>
        <v>623</v>
      </c>
      <c r="J113" s="15">
        <f>66+8</f>
        <v>74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f t="shared" si="30"/>
        <v>1973</v>
      </c>
    </row>
    <row r="114" spans="1:16" ht="15" customHeight="1" x14ac:dyDescent="0.25">
      <c r="A114" s="151"/>
      <c r="B114" s="134"/>
      <c r="C114" s="135"/>
      <c r="D114" s="136"/>
      <c r="E114" s="144"/>
      <c r="F114" s="16"/>
      <c r="G114" s="16" t="s">
        <v>14</v>
      </c>
      <c r="H114" s="17">
        <f t="shared" ref="H114:O114" si="58">SUM(H112:H113)</f>
        <v>23704</v>
      </c>
      <c r="I114" s="17">
        <f t="shared" si="58"/>
        <v>23051</v>
      </c>
      <c r="J114" s="17">
        <f t="shared" si="58"/>
        <v>5680</v>
      </c>
      <c r="K114" s="17">
        <f t="shared" si="58"/>
        <v>0</v>
      </c>
      <c r="L114" s="17">
        <f t="shared" si="58"/>
        <v>0</v>
      </c>
      <c r="M114" s="17">
        <f t="shared" si="58"/>
        <v>0</v>
      </c>
      <c r="N114" s="17">
        <f t="shared" si="58"/>
        <v>0</v>
      </c>
      <c r="O114" s="17">
        <f t="shared" si="58"/>
        <v>0</v>
      </c>
      <c r="P114" s="18">
        <f t="shared" si="30"/>
        <v>52435</v>
      </c>
    </row>
    <row r="115" spans="1:16" ht="16.899999999999999" customHeight="1" x14ac:dyDescent="0.25">
      <c r="A115" s="149">
        <f t="shared" ref="A115" si="59">A112+1</f>
        <v>36</v>
      </c>
      <c r="B115" s="134" t="s">
        <v>8</v>
      </c>
      <c r="C115" s="135" t="s">
        <v>140</v>
      </c>
      <c r="D115" s="136">
        <v>41474</v>
      </c>
      <c r="E115" s="144" t="s">
        <v>141</v>
      </c>
      <c r="F115" s="24" t="s">
        <v>142</v>
      </c>
      <c r="G115" s="12" t="s">
        <v>12</v>
      </c>
      <c r="H115" s="13">
        <v>4328</v>
      </c>
      <c r="I115" s="13">
        <v>4328</v>
      </c>
      <c r="J115" s="13">
        <v>4328</v>
      </c>
      <c r="K115" s="13">
        <v>4328</v>
      </c>
      <c r="L115" s="13">
        <v>4328</v>
      </c>
      <c r="M115" s="13">
        <v>4328</v>
      </c>
      <c r="N115" s="13">
        <v>4328</v>
      </c>
      <c r="O115" s="13">
        <f>58135-4228+1231-4328-4328</f>
        <v>46482</v>
      </c>
      <c r="P115" s="13">
        <f t="shared" si="30"/>
        <v>76778</v>
      </c>
    </row>
    <row r="116" spans="1:16" ht="15.75" customHeight="1" x14ac:dyDescent="0.25">
      <c r="A116" s="150"/>
      <c r="B116" s="134"/>
      <c r="C116" s="135"/>
      <c r="D116" s="136"/>
      <c r="E116" s="144"/>
      <c r="F116" s="21" t="s">
        <v>143</v>
      </c>
      <c r="G116" s="14" t="s">
        <v>13</v>
      </c>
      <c r="H116" s="15">
        <f>1713+193</f>
        <v>1906</v>
      </c>
      <c r="I116" s="15">
        <f>1637+182</f>
        <v>1819</v>
      </c>
      <c r="J116" s="15">
        <f>1543+171</f>
        <v>1714</v>
      </c>
      <c r="K116" s="15">
        <f>1439+160</f>
        <v>1599</v>
      </c>
      <c r="L116" s="15">
        <f>1341+149</f>
        <v>1490</v>
      </c>
      <c r="M116" s="15">
        <f>1242+138</f>
        <v>1380</v>
      </c>
      <c r="N116" s="15">
        <f>1147+127</f>
        <v>1274</v>
      </c>
      <c r="O116" s="30">
        <f>6064+674</f>
        <v>6738</v>
      </c>
      <c r="P116" s="15">
        <f t="shared" si="30"/>
        <v>17920</v>
      </c>
    </row>
    <row r="117" spans="1:16" ht="15.75" customHeight="1" x14ac:dyDescent="0.25">
      <c r="A117" s="151"/>
      <c r="B117" s="134"/>
      <c r="C117" s="135"/>
      <c r="D117" s="136"/>
      <c r="E117" s="144"/>
      <c r="F117" s="16"/>
      <c r="G117" s="16" t="s">
        <v>14</v>
      </c>
      <c r="H117" s="17">
        <f t="shared" ref="H117:O117" si="60">SUM(H115:H116)</f>
        <v>6234</v>
      </c>
      <c r="I117" s="17">
        <f t="shared" si="60"/>
        <v>6147</v>
      </c>
      <c r="J117" s="17">
        <f t="shared" si="60"/>
        <v>6042</v>
      </c>
      <c r="K117" s="17">
        <f t="shared" si="60"/>
        <v>5927</v>
      </c>
      <c r="L117" s="17">
        <f t="shared" si="60"/>
        <v>5818</v>
      </c>
      <c r="M117" s="17">
        <f t="shared" si="60"/>
        <v>5708</v>
      </c>
      <c r="N117" s="17">
        <f t="shared" si="60"/>
        <v>5602</v>
      </c>
      <c r="O117" s="17">
        <f t="shared" si="60"/>
        <v>53220</v>
      </c>
      <c r="P117" s="18">
        <f t="shared" si="30"/>
        <v>94698</v>
      </c>
    </row>
    <row r="118" spans="1:16" ht="18.600000000000001" customHeight="1" x14ac:dyDescent="0.25">
      <c r="A118" s="149">
        <f t="shared" ref="A118" si="61">A115+1</f>
        <v>37</v>
      </c>
      <c r="B118" s="134" t="s">
        <v>8</v>
      </c>
      <c r="C118" s="135" t="s">
        <v>144</v>
      </c>
      <c r="D118" s="156">
        <v>41897</v>
      </c>
      <c r="E118" s="144" t="s">
        <v>145</v>
      </c>
      <c r="F118" s="24" t="s">
        <v>146</v>
      </c>
      <c r="G118" s="12" t="s">
        <v>12</v>
      </c>
      <c r="H118" s="13">
        <v>2000</v>
      </c>
      <c r="I118" s="13">
        <v>2000</v>
      </c>
      <c r="J118" s="13">
        <v>2000</v>
      </c>
      <c r="K118" s="13">
        <v>2000</v>
      </c>
      <c r="L118" s="13">
        <v>1999</v>
      </c>
      <c r="M118" s="13">
        <v>0</v>
      </c>
      <c r="N118" s="13">
        <v>0</v>
      </c>
      <c r="O118" s="13">
        <v>0</v>
      </c>
      <c r="P118" s="13">
        <f t="shared" si="30"/>
        <v>9999</v>
      </c>
    </row>
    <row r="119" spans="1:16" ht="17.25" customHeight="1" x14ac:dyDescent="0.25">
      <c r="A119" s="150"/>
      <c r="B119" s="134"/>
      <c r="C119" s="135"/>
      <c r="D119" s="156"/>
      <c r="E119" s="144"/>
      <c r="F119" s="21" t="s">
        <v>147</v>
      </c>
      <c r="G119" s="14" t="s">
        <v>13</v>
      </c>
      <c r="H119" s="15">
        <f>219+25</f>
        <v>244</v>
      </c>
      <c r="I119" s="15">
        <f>173+20</f>
        <v>193</v>
      </c>
      <c r="J119" s="15">
        <f>130+14</f>
        <v>144</v>
      </c>
      <c r="K119" s="31">
        <f>84+9</f>
        <v>93</v>
      </c>
      <c r="L119" s="31">
        <f>38+4</f>
        <v>42</v>
      </c>
      <c r="M119" s="31">
        <v>3</v>
      </c>
      <c r="N119" s="15">
        <v>0</v>
      </c>
      <c r="O119" s="32">
        <v>0</v>
      </c>
      <c r="P119" s="15">
        <f t="shared" si="30"/>
        <v>719</v>
      </c>
    </row>
    <row r="120" spans="1:16" ht="15" customHeight="1" x14ac:dyDescent="0.25">
      <c r="A120" s="151"/>
      <c r="B120" s="146"/>
      <c r="C120" s="148"/>
      <c r="D120" s="157"/>
      <c r="E120" s="141"/>
      <c r="F120" s="25"/>
      <c r="G120" s="25" t="s">
        <v>14</v>
      </c>
      <c r="H120" s="17">
        <f t="shared" ref="H120:O120" si="62">SUM(H118:H119)</f>
        <v>2244</v>
      </c>
      <c r="I120" s="17">
        <f t="shared" si="62"/>
        <v>2193</v>
      </c>
      <c r="J120" s="17">
        <f t="shared" si="62"/>
        <v>2144</v>
      </c>
      <c r="K120" s="17">
        <f t="shared" si="62"/>
        <v>2093</v>
      </c>
      <c r="L120" s="17">
        <f t="shared" si="62"/>
        <v>2041</v>
      </c>
      <c r="M120" s="17">
        <f t="shared" si="62"/>
        <v>3</v>
      </c>
      <c r="N120" s="17">
        <f t="shared" si="62"/>
        <v>0</v>
      </c>
      <c r="O120" s="17">
        <f t="shared" si="62"/>
        <v>0</v>
      </c>
      <c r="P120" s="18">
        <f t="shared" si="30"/>
        <v>10718</v>
      </c>
    </row>
    <row r="121" spans="1:16" ht="17.25" customHeight="1" x14ac:dyDescent="0.25">
      <c r="A121" s="149">
        <f t="shared" ref="A121" si="63">A118+1</f>
        <v>38</v>
      </c>
      <c r="B121" s="134" t="s">
        <v>8</v>
      </c>
      <c r="C121" s="135" t="s">
        <v>148</v>
      </c>
      <c r="D121" s="136">
        <v>41696</v>
      </c>
      <c r="E121" s="144" t="s">
        <v>149</v>
      </c>
      <c r="F121" s="24" t="s">
        <v>150</v>
      </c>
      <c r="G121" s="12" t="s">
        <v>12</v>
      </c>
      <c r="H121" s="13">
        <v>122264</v>
      </c>
      <c r="I121" s="13">
        <v>122264</v>
      </c>
      <c r="J121" s="13">
        <v>122264</v>
      </c>
      <c r="K121" s="13">
        <v>30554</v>
      </c>
      <c r="L121" s="13">
        <v>0</v>
      </c>
      <c r="M121" s="13">
        <v>0</v>
      </c>
      <c r="N121" s="13">
        <v>0</v>
      </c>
      <c r="O121" s="13">
        <v>0</v>
      </c>
      <c r="P121" s="13">
        <f t="shared" si="30"/>
        <v>397346</v>
      </c>
    </row>
    <row r="122" spans="1:16" ht="15.75" customHeight="1" x14ac:dyDescent="0.25">
      <c r="A122" s="150"/>
      <c r="B122" s="134"/>
      <c r="C122" s="135"/>
      <c r="D122" s="136"/>
      <c r="E122" s="144"/>
      <c r="F122" s="21" t="s">
        <v>151</v>
      </c>
      <c r="G122" s="14" t="s">
        <v>13</v>
      </c>
      <c r="H122" s="22">
        <f>9243+960</f>
        <v>10203</v>
      </c>
      <c r="I122" s="22">
        <f>5845+650</f>
        <v>6495</v>
      </c>
      <c r="J122" s="15">
        <f>3058+340</f>
        <v>3398</v>
      </c>
      <c r="K122" s="31">
        <f>424+47</f>
        <v>471</v>
      </c>
      <c r="L122" s="31">
        <v>0</v>
      </c>
      <c r="M122" s="15">
        <v>0</v>
      </c>
      <c r="N122" s="15">
        <v>0</v>
      </c>
      <c r="O122" s="15">
        <v>0</v>
      </c>
      <c r="P122" s="15">
        <f t="shared" si="30"/>
        <v>20567</v>
      </c>
    </row>
    <row r="123" spans="1:16" ht="15" customHeight="1" x14ac:dyDescent="0.25">
      <c r="A123" s="151"/>
      <c r="B123" s="134"/>
      <c r="C123" s="135"/>
      <c r="D123" s="136"/>
      <c r="E123" s="144"/>
      <c r="F123" s="16"/>
      <c r="G123" s="16" t="s">
        <v>14</v>
      </c>
      <c r="H123" s="17">
        <f t="shared" ref="H123:O123" si="64">SUM(H121:H122)</f>
        <v>132467</v>
      </c>
      <c r="I123" s="17">
        <f t="shared" si="64"/>
        <v>128759</v>
      </c>
      <c r="J123" s="17">
        <f t="shared" si="64"/>
        <v>125662</v>
      </c>
      <c r="K123" s="17">
        <f t="shared" si="64"/>
        <v>31025</v>
      </c>
      <c r="L123" s="17">
        <f t="shared" si="64"/>
        <v>0</v>
      </c>
      <c r="M123" s="17">
        <f t="shared" si="64"/>
        <v>0</v>
      </c>
      <c r="N123" s="17">
        <f t="shared" si="64"/>
        <v>0</v>
      </c>
      <c r="O123" s="17">
        <f t="shared" si="64"/>
        <v>0</v>
      </c>
      <c r="P123" s="18">
        <f t="shared" si="30"/>
        <v>417913</v>
      </c>
    </row>
    <row r="124" spans="1:16" ht="18" customHeight="1" x14ac:dyDescent="0.25">
      <c r="A124" s="149">
        <f t="shared" ref="A124" si="65">A121+1</f>
        <v>39</v>
      </c>
      <c r="B124" s="134" t="s">
        <v>8</v>
      </c>
      <c r="C124" s="145" t="s">
        <v>152</v>
      </c>
      <c r="D124" s="136">
        <v>41752</v>
      </c>
      <c r="E124" s="144" t="s">
        <v>153</v>
      </c>
      <c r="F124" s="24" t="s">
        <v>154</v>
      </c>
      <c r="G124" s="12" t="s">
        <v>12</v>
      </c>
      <c r="H124" s="13">
        <v>11044</v>
      </c>
      <c r="I124" s="13">
        <v>11044</v>
      </c>
      <c r="J124" s="13">
        <v>11044</v>
      </c>
      <c r="K124" s="13">
        <v>11044</v>
      </c>
      <c r="L124" s="13">
        <v>11044</v>
      </c>
      <c r="M124" s="13">
        <v>11044</v>
      </c>
      <c r="N124" s="13">
        <v>11044</v>
      </c>
      <c r="O124" s="13">
        <f>48654-10812+808-11044-11044</f>
        <v>16562</v>
      </c>
      <c r="P124" s="13">
        <f t="shared" si="30"/>
        <v>93870</v>
      </c>
    </row>
    <row r="125" spans="1:16" ht="15.75" customHeight="1" x14ac:dyDescent="0.25">
      <c r="A125" s="150"/>
      <c r="B125" s="134"/>
      <c r="C125" s="145"/>
      <c r="D125" s="136"/>
      <c r="E125" s="144"/>
      <c r="F125" s="29" t="s">
        <v>155</v>
      </c>
      <c r="G125" s="14" t="s">
        <v>13</v>
      </c>
      <c r="H125" s="22">
        <f>2128+234</f>
        <v>2362</v>
      </c>
      <c r="I125" s="22">
        <f>1851+206</f>
        <v>2057</v>
      </c>
      <c r="J125" s="15">
        <f>1602+178</f>
        <v>1780</v>
      </c>
      <c r="K125" s="31">
        <f>1346+150</f>
        <v>1496</v>
      </c>
      <c r="L125" s="31">
        <f>1094+122</f>
        <v>1216</v>
      </c>
      <c r="M125" s="31">
        <f>842+94</f>
        <v>936</v>
      </c>
      <c r="N125" s="31">
        <f>593+66</f>
        <v>659</v>
      </c>
      <c r="O125" s="30">
        <f>416+46</f>
        <v>462</v>
      </c>
      <c r="P125" s="15">
        <f t="shared" si="30"/>
        <v>10968</v>
      </c>
    </row>
    <row r="126" spans="1:16" ht="15.75" customHeight="1" x14ac:dyDescent="0.25">
      <c r="A126" s="151"/>
      <c r="B126" s="134"/>
      <c r="C126" s="145"/>
      <c r="D126" s="136"/>
      <c r="E126" s="144"/>
      <c r="F126" s="16"/>
      <c r="G126" s="16" t="s">
        <v>14</v>
      </c>
      <c r="H126" s="17">
        <f t="shared" ref="H126:O126" si="66">SUM(H124:H125)</f>
        <v>13406</v>
      </c>
      <c r="I126" s="17">
        <f t="shared" si="66"/>
        <v>13101</v>
      </c>
      <c r="J126" s="17">
        <f t="shared" si="66"/>
        <v>12824</v>
      </c>
      <c r="K126" s="17">
        <f t="shared" si="66"/>
        <v>12540</v>
      </c>
      <c r="L126" s="17">
        <f t="shared" si="66"/>
        <v>12260</v>
      </c>
      <c r="M126" s="17">
        <f t="shared" si="66"/>
        <v>11980</v>
      </c>
      <c r="N126" s="17">
        <f t="shared" si="66"/>
        <v>11703</v>
      </c>
      <c r="O126" s="17">
        <f t="shared" si="66"/>
        <v>17024</v>
      </c>
      <c r="P126" s="18">
        <f t="shared" si="30"/>
        <v>104838</v>
      </c>
    </row>
    <row r="127" spans="1:16" ht="18.600000000000001" customHeight="1" x14ac:dyDescent="0.25">
      <c r="A127" s="149">
        <f t="shared" ref="A127" si="67">A124+1</f>
        <v>40</v>
      </c>
      <c r="B127" s="134" t="s">
        <v>8</v>
      </c>
      <c r="C127" s="135" t="s">
        <v>156</v>
      </c>
      <c r="D127" s="136">
        <v>41851</v>
      </c>
      <c r="E127" s="144" t="s">
        <v>157</v>
      </c>
      <c r="F127" s="24" t="s">
        <v>158</v>
      </c>
      <c r="G127" s="12" t="s">
        <v>12</v>
      </c>
      <c r="H127" s="13">
        <v>12484</v>
      </c>
      <c r="I127" s="13">
        <v>12484</v>
      </c>
      <c r="J127" s="13">
        <v>12484</v>
      </c>
      <c r="K127" s="13">
        <v>12484</v>
      </c>
      <c r="L127" s="13">
        <v>12484</v>
      </c>
      <c r="M127" s="13">
        <v>12484</v>
      </c>
      <c r="N127" s="13">
        <v>12484</v>
      </c>
      <c r="O127" s="13">
        <f>180009-12204+3842-12484-12484</f>
        <v>146679</v>
      </c>
      <c r="P127" s="13">
        <f t="shared" si="30"/>
        <v>234067</v>
      </c>
    </row>
    <row r="128" spans="1:16" ht="15.75" customHeight="1" x14ac:dyDescent="0.25">
      <c r="A128" s="150"/>
      <c r="B128" s="134"/>
      <c r="C128" s="135"/>
      <c r="D128" s="136"/>
      <c r="E128" s="144"/>
      <c r="F128" s="21" t="s">
        <v>159</v>
      </c>
      <c r="G128" s="14" t="s">
        <v>13</v>
      </c>
      <c r="H128" s="15">
        <f>5209+588</f>
        <v>5797</v>
      </c>
      <c r="I128" s="15">
        <f>5011+557</f>
        <v>5568</v>
      </c>
      <c r="J128" s="15">
        <f>4738+526</f>
        <v>5264</v>
      </c>
      <c r="K128" s="15">
        <f>4441+493</f>
        <v>4934</v>
      </c>
      <c r="L128" s="15">
        <f>4156+461</f>
        <v>4617</v>
      </c>
      <c r="M128" s="15">
        <f>3871+430</f>
        <v>4301</v>
      </c>
      <c r="N128" s="15">
        <f>3597+400</f>
        <v>3997</v>
      </c>
      <c r="O128" s="30">
        <f>20824+2314</f>
        <v>23138</v>
      </c>
      <c r="P128" s="15">
        <f t="shared" si="30"/>
        <v>57616</v>
      </c>
    </row>
    <row r="129" spans="1:16" ht="15.75" customHeight="1" x14ac:dyDescent="0.25">
      <c r="A129" s="151"/>
      <c r="B129" s="134"/>
      <c r="C129" s="135"/>
      <c r="D129" s="136"/>
      <c r="E129" s="144"/>
      <c r="F129" s="16"/>
      <c r="G129" s="16" t="s">
        <v>14</v>
      </c>
      <c r="H129" s="17">
        <f t="shared" ref="H129:O129" si="68">SUM(H127:H128)</f>
        <v>18281</v>
      </c>
      <c r="I129" s="17">
        <f t="shared" si="68"/>
        <v>18052</v>
      </c>
      <c r="J129" s="17">
        <f t="shared" si="68"/>
        <v>17748</v>
      </c>
      <c r="K129" s="17">
        <f t="shared" si="68"/>
        <v>17418</v>
      </c>
      <c r="L129" s="17">
        <f t="shared" si="68"/>
        <v>17101</v>
      </c>
      <c r="M129" s="17">
        <f t="shared" si="68"/>
        <v>16785</v>
      </c>
      <c r="N129" s="17">
        <f t="shared" si="68"/>
        <v>16481</v>
      </c>
      <c r="O129" s="17">
        <f t="shared" si="68"/>
        <v>169817</v>
      </c>
      <c r="P129" s="18">
        <f t="shared" si="30"/>
        <v>291683</v>
      </c>
    </row>
    <row r="130" spans="1:16" ht="16.5" customHeight="1" x14ac:dyDescent="0.25">
      <c r="A130" s="149">
        <f t="shared" ref="A130" si="69">A127+1</f>
        <v>41</v>
      </c>
      <c r="B130" s="134" t="s">
        <v>8</v>
      </c>
      <c r="C130" s="135" t="s">
        <v>160</v>
      </c>
      <c r="D130" s="136">
        <v>41851</v>
      </c>
      <c r="E130" s="144" t="s">
        <v>157</v>
      </c>
      <c r="F130" s="24" t="s">
        <v>161</v>
      </c>
      <c r="G130" s="12" t="s">
        <v>12</v>
      </c>
      <c r="H130" s="13">
        <v>5864</v>
      </c>
      <c r="I130" s="13">
        <v>5864</v>
      </c>
      <c r="J130" s="13">
        <v>5864</v>
      </c>
      <c r="K130" s="13">
        <v>5864</v>
      </c>
      <c r="L130" s="13">
        <v>5864</v>
      </c>
      <c r="M130" s="13">
        <v>5864</v>
      </c>
      <c r="N130" s="13">
        <v>5864</v>
      </c>
      <c r="O130" s="13">
        <f>84547-5732+1802-5864-5864</f>
        <v>68889</v>
      </c>
      <c r="P130" s="13">
        <f t="shared" si="30"/>
        <v>109937</v>
      </c>
    </row>
    <row r="131" spans="1:16" ht="15" customHeight="1" x14ac:dyDescent="0.25">
      <c r="A131" s="150"/>
      <c r="B131" s="134"/>
      <c r="C131" s="135"/>
      <c r="D131" s="136"/>
      <c r="E131" s="144"/>
      <c r="F131" s="21" t="s">
        <v>162</v>
      </c>
      <c r="G131" s="14" t="s">
        <v>13</v>
      </c>
      <c r="H131" s="15">
        <f>2446+276</f>
        <v>2722</v>
      </c>
      <c r="I131" s="15">
        <f>2353+262</f>
        <v>2615</v>
      </c>
      <c r="J131" s="15">
        <f>2226+247</f>
        <v>2473</v>
      </c>
      <c r="K131" s="31">
        <f>2086+232</f>
        <v>2318</v>
      </c>
      <c r="L131" s="31">
        <f>1952+217</f>
        <v>2169</v>
      </c>
      <c r="M131" s="31">
        <f>1818+202</f>
        <v>2020</v>
      </c>
      <c r="N131" s="31">
        <f>1689+188</f>
        <v>1877</v>
      </c>
      <c r="O131" s="30">
        <f>9779+1086</f>
        <v>10865</v>
      </c>
      <c r="P131" s="15">
        <f t="shared" si="30"/>
        <v>27059</v>
      </c>
    </row>
    <row r="132" spans="1:16" ht="15" customHeight="1" x14ac:dyDescent="0.25">
      <c r="A132" s="151"/>
      <c r="B132" s="134"/>
      <c r="C132" s="135"/>
      <c r="D132" s="136"/>
      <c r="E132" s="144"/>
      <c r="F132" s="16"/>
      <c r="G132" s="16" t="s">
        <v>14</v>
      </c>
      <c r="H132" s="17">
        <f t="shared" ref="H132:O132" si="70">SUM(H130:H131)</f>
        <v>8586</v>
      </c>
      <c r="I132" s="17">
        <f t="shared" si="70"/>
        <v>8479</v>
      </c>
      <c r="J132" s="17">
        <f t="shared" si="70"/>
        <v>8337</v>
      </c>
      <c r="K132" s="17">
        <f t="shared" si="70"/>
        <v>8182</v>
      </c>
      <c r="L132" s="17">
        <f t="shared" si="70"/>
        <v>8033</v>
      </c>
      <c r="M132" s="17">
        <f t="shared" si="70"/>
        <v>7884</v>
      </c>
      <c r="N132" s="17">
        <f t="shared" si="70"/>
        <v>7741</v>
      </c>
      <c r="O132" s="17">
        <f t="shared" si="70"/>
        <v>79754</v>
      </c>
      <c r="P132" s="18">
        <f t="shared" si="30"/>
        <v>136996</v>
      </c>
    </row>
    <row r="133" spans="1:16" ht="14.25" customHeight="1" x14ac:dyDescent="0.25">
      <c r="A133" s="149">
        <f t="shared" ref="A133:A136" si="71">A130+1</f>
        <v>42</v>
      </c>
      <c r="B133" s="134" t="s">
        <v>8</v>
      </c>
      <c r="C133" s="135" t="s">
        <v>163</v>
      </c>
      <c r="D133" s="136">
        <v>41962</v>
      </c>
      <c r="E133" s="144" t="s">
        <v>60</v>
      </c>
      <c r="F133" s="24" t="s">
        <v>164</v>
      </c>
      <c r="G133" s="12" t="s">
        <v>12</v>
      </c>
      <c r="H133" s="13">
        <v>17932</v>
      </c>
      <c r="I133" s="13">
        <v>17932</v>
      </c>
      <c r="J133" s="13">
        <v>17917</v>
      </c>
      <c r="K133" s="13">
        <v>0</v>
      </c>
      <c r="L133" s="20">
        <v>0</v>
      </c>
      <c r="M133" s="13">
        <v>0</v>
      </c>
      <c r="N133" s="13">
        <v>0</v>
      </c>
      <c r="O133" s="13">
        <v>0</v>
      </c>
      <c r="P133" s="13">
        <f t="shared" si="30"/>
        <v>53781</v>
      </c>
    </row>
    <row r="134" spans="1:16" ht="14.25" customHeight="1" x14ac:dyDescent="0.25">
      <c r="A134" s="150"/>
      <c r="B134" s="134"/>
      <c r="C134" s="135"/>
      <c r="D134" s="136"/>
      <c r="E134" s="144"/>
      <c r="F134" s="21" t="s">
        <v>165</v>
      </c>
      <c r="G134" s="14" t="s">
        <v>13</v>
      </c>
      <c r="H134" s="15">
        <f>1191+129</f>
        <v>1320</v>
      </c>
      <c r="I134" s="15">
        <f>753+84</f>
        <v>837</v>
      </c>
      <c r="J134" s="15">
        <f>346+38</f>
        <v>384</v>
      </c>
      <c r="K134" s="31">
        <f>22+2</f>
        <v>24</v>
      </c>
      <c r="L134" s="23">
        <v>0</v>
      </c>
      <c r="M134" s="15">
        <v>0</v>
      </c>
      <c r="N134" s="31">
        <v>0</v>
      </c>
      <c r="O134" s="15">
        <v>0</v>
      </c>
      <c r="P134" s="15">
        <f t="shared" si="30"/>
        <v>2565</v>
      </c>
    </row>
    <row r="135" spans="1:16" ht="14.25" customHeight="1" x14ac:dyDescent="0.25">
      <c r="A135" s="151"/>
      <c r="B135" s="146"/>
      <c r="C135" s="148"/>
      <c r="D135" s="138"/>
      <c r="E135" s="141"/>
      <c r="F135" s="25"/>
      <c r="G135" s="25" t="s">
        <v>14</v>
      </c>
      <c r="H135" s="17">
        <f t="shared" ref="H135:O135" si="72">SUM(H133:H134)</f>
        <v>19252</v>
      </c>
      <c r="I135" s="17">
        <f t="shared" si="72"/>
        <v>18769</v>
      </c>
      <c r="J135" s="17">
        <f t="shared" si="72"/>
        <v>18301</v>
      </c>
      <c r="K135" s="17">
        <f t="shared" si="72"/>
        <v>24</v>
      </c>
      <c r="L135" s="17">
        <f t="shared" si="72"/>
        <v>0</v>
      </c>
      <c r="M135" s="17">
        <f t="shared" si="72"/>
        <v>0</v>
      </c>
      <c r="N135" s="17">
        <f t="shared" si="72"/>
        <v>0</v>
      </c>
      <c r="O135" s="17">
        <f t="shared" si="72"/>
        <v>0</v>
      </c>
      <c r="P135" s="18">
        <f t="shared" si="30"/>
        <v>56346</v>
      </c>
    </row>
    <row r="136" spans="1:16" ht="14.25" customHeight="1" x14ac:dyDescent="0.25">
      <c r="A136" s="149">
        <f t="shared" si="71"/>
        <v>43</v>
      </c>
      <c r="B136" s="134" t="s">
        <v>8</v>
      </c>
      <c r="C136" s="145" t="s">
        <v>166</v>
      </c>
      <c r="D136" s="136">
        <v>41962</v>
      </c>
      <c r="E136" s="144" t="s">
        <v>167</v>
      </c>
      <c r="F136" s="24" t="s">
        <v>168</v>
      </c>
      <c r="G136" s="12" t="s">
        <v>12</v>
      </c>
      <c r="H136" s="13">
        <v>13868</v>
      </c>
      <c r="I136" s="13">
        <v>13868</v>
      </c>
      <c r="J136" s="13">
        <v>13868</v>
      </c>
      <c r="K136" s="13">
        <v>13868</v>
      </c>
      <c r="L136" s="13">
        <v>13868</v>
      </c>
      <c r="M136" s="13">
        <v>13868</v>
      </c>
      <c r="N136" s="13">
        <v>13868</v>
      </c>
      <c r="O136" s="13">
        <f>68460-13692+669-13868-13868</f>
        <v>27701</v>
      </c>
      <c r="P136" s="13">
        <f t="shared" si="30"/>
        <v>124777</v>
      </c>
    </row>
    <row r="137" spans="1:16" ht="14.25" customHeight="1" x14ac:dyDescent="0.25">
      <c r="A137" s="150"/>
      <c r="B137" s="134"/>
      <c r="C137" s="135"/>
      <c r="D137" s="136"/>
      <c r="E137" s="144"/>
      <c r="F137" s="21" t="s">
        <v>169</v>
      </c>
      <c r="G137" s="14" t="s">
        <v>13</v>
      </c>
      <c r="H137" s="15">
        <f>2853+311</f>
        <v>3164</v>
      </c>
      <c r="I137" s="15">
        <f>2476+276</f>
        <v>2752</v>
      </c>
      <c r="J137" s="15">
        <f>2170+241</f>
        <v>2411</v>
      </c>
      <c r="K137" s="31">
        <f>1847+205</f>
        <v>2052</v>
      </c>
      <c r="L137" s="31">
        <f>1531+170</f>
        <v>1701</v>
      </c>
      <c r="M137" s="31">
        <f>1215+135</f>
        <v>1350</v>
      </c>
      <c r="N137" s="31">
        <f>902+100</f>
        <v>1002</v>
      </c>
      <c r="O137" s="30">
        <f>859+95</f>
        <v>954</v>
      </c>
      <c r="P137" s="15">
        <f t="shared" si="30"/>
        <v>15386</v>
      </c>
    </row>
    <row r="138" spans="1:16" ht="14.25" customHeight="1" x14ac:dyDescent="0.25">
      <c r="A138" s="151"/>
      <c r="B138" s="134"/>
      <c r="C138" s="135"/>
      <c r="D138" s="136"/>
      <c r="E138" s="144"/>
      <c r="F138" s="16"/>
      <c r="G138" s="16" t="s">
        <v>14</v>
      </c>
      <c r="H138" s="17">
        <f t="shared" ref="H138:O138" si="73">SUM(H136:H137)</f>
        <v>17032</v>
      </c>
      <c r="I138" s="17">
        <f t="shared" si="73"/>
        <v>16620</v>
      </c>
      <c r="J138" s="17">
        <f t="shared" si="73"/>
        <v>16279</v>
      </c>
      <c r="K138" s="17">
        <f t="shared" si="73"/>
        <v>15920</v>
      </c>
      <c r="L138" s="17">
        <f t="shared" si="73"/>
        <v>15569</v>
      </c>
      <c r="M138" s="17">
        <f t="shared" si="73"/>
        <v>15218</v>
      </c>
      <c r="N138" s="17">
        <f t="shared" si="73"/>
        <v>14870</v>
      </c>
      <c r="O138" s="17">
        <f t="shared" si="73"/>
        <v>28655</v>
      </c>
      <c r="P138" s="18">
        <f t="shared" ref="P138:P201" si="74">SUM(H138:O138)</f>
        <v>140163</v>
      </c>
    </row>
    <row r="139" spans="1:16" ht="16.5" customHeight="1" x14ac:dyDescent="0.25">
      <c r="A139" s="149">
        <f t="shared" ref="A139" si="75">A136+1</f>
        <v>44</v>
      </c>
      <c r="B139" s="134" t="s">
        <v>8</v>
      </c>
      <c r="C139" s="135" t="s">
        <v>170</v>
      </c>
      <c r="D139" s="136">
        <v>41989</v>
      </c>
      <c r="E139" s="144" t="s">
        <v>171</v>
      </c>
      <c r="F139" s="24" t="s">
        <v>172</v>
      </c>
      <c r="G139" s="12" t="s">
        <v>12</v>
      </c>
      <c r="H139" s="13">
        <v>6180</v>
      </c>
      <c r="I139" s="13">
        <v>6180</v>
      </c>
      <c r="J139" s="13">
        <v>6180</v>
      </c>
      <c r="K139" s="13">
        <v>6173</v>
      </c>
      <c r="L139" s="13">
        <v>0</v>
      </c>
      <c r="M139" s="13">
        <v>0</v>
      </c>
      <c r="N139" s="13">
        <v>0</v>
      </c>
      <c r="O139" s="13">
        <v>0</v>
      </c>
      <c r="P139" s="13">
        <f t="shared" si="74"/>
        <v>24713</v>
      </c>
    </row>
    <row r="140" spans="1:16" ht="16.899999999999999" customHeight="1" x14ac:dyDescent="0.25">
      <c r="A140" s="150"/>
      <c r="B140" s="134"/>
      <c r="C140" s="135"/>
      <c r="D140" s="136"/>
      <c r="E140" s="144"/>
      <c r="F140" s="21" t="s">
        <v>173</v>
      </c>
      <c r="G140" s="14" t="s">
        <v>13</v>
      </c>
      <c r="H140" s="15">
        <f>571+60</f>
        <v>631</v>
      </c>
      <c r="I140" s="15">
        <f>403+45</f>
        <v>448</v>
      </c>
      <c r="J140" s="15">
        <f>260+29</f>
        <v>289</v>
      </c>
      <c r="K140" s="31">
        <f>117+13</f>
        <v>130</v>
      </c>
      <c r="L140" s="31">
        <f>5+1</f>
        <v>6</v>
      </c>
      <c r="M140" s="15">
        <v>0</v>
      </c>
      <c r="N140" s="31">
        <v>0</v>
      </c>
      <c r="O140" s="31">
        <v>0</v>
      </c>
      <c r="P140" s="15">
        <f t="shared" si="74"/>
        <v>1504</v>
      </c>
    </row>
    <row r="141" spans="1:16" ht="16.5" customHeight="1" x14ac:dyDescent="0.25">
      <c r="A141" s="151"/>
      <c r="B141" s="134"/>
      <c r="C141" s="135"/>
      <c r="D141" s="136"/>
      <c r="E141" s="144"/>
      <c r="F141" s="16"/>
      <c r="G141" s="16" t="s">
        <v>14</v>
      </c>
      <c r="H141" s="17">
        <f t="shared" ref="H141:O141" si="76">SUM(H139:H140)</f>
        <v>6811</v>
      </c>
      <c r="I141" s="17">
        <f t="shared" si="76"/>
        <v>6628</v>
      </c>
      <c r="J141" s="17">
        <f t="shared" si="76"/>
        <v>6469</v>
      </c>
      <c r="K141" s="33">
        <f t="shared" si="76"/>
        <v>6303</v>
      </c>
      <c r="L141" s="33">
        <f t="shared" si="76"/>
        <v>6</v>
      </c>
      <c r="M141" s="17">
        <f t="shared" si="76"/>
        <v>0</v>
      </c>
      <c r="N141" s="17">
        <f t="shared" si="76"/>
        <v>0</v>
      </c>
      <c r="O141" s="33">
        <f t="shared" si="76"/>
        <v>0</v>
      </c>
      <c r="P141" s="18">
        <f t="shared" si="74"/>
        <v>26217</v>
      </c>
    </row>
    <row r="142" spans="1:16" ht="15" customHeight="1" x14ac:dyDescent="0.25">
      <c r="A142" s="149">
        <f t="shared" ref="A142" si="77">A139+1</f>
        <v>45</v>
      </c>
      <c r="B142" s="134" t="s">
        <v>8</v>
      </c>
      <c r="C142" s="135" t="s">
        <v>174</v>
      </c>
      <c r="D142" s="136">
        <v>42103</v>
      </c>
      <c r="E142" s="144" t="s">
        <v>175</v>
      </c>
      <c r="F142" s="24" t="s">
        <v>176</v>
      </c>
      <c r="G142" s="12" t="s">
        <v>12</v>
      </c>
      <c r="H142" s="13">
        <f t="shared" ref="H142:L142" si="78">2188+44</f>
        <v>2232</v>
      </c>
      <c r="I142" s="13">
        <f t="shared" si="78"/>
        <v>2232</v>
      </c>
      <c r="J142" s="13">
        <f t="shared" si="78"/>
        <v>2232</v>
      </c>
      <c r="K142" s="13">
        <f t="shared" si="78"/>
        <v>2232</v>
      </c>
      <c r="L142" s="13">
        <f t="shared" si="78"/>
        <v>2232</v>
      </c>
      <c r="M142" s="13">
        <v>2232</v>
      </c>
      <c r="N142" s="13">
        <v>2232</v>
      </c>
      <c r="O142" s="13">
        <f>33367-2188+617-2232-2232</f>
        <v>27332</v>
      </c>
      <c r="P142" s="13">
        <f t="shared" si="74"/>
        <v>42956</v>
      </c>
    </row>
    <row r="143" spans="1:16" ht="15.75" customHeight="1" x14ac:dyDescent="0.25">
      <c r="A143" s="150"/>
      <c r="B143" s="134"/>
      <c r="C143" s="135"/>
      <c r="D143" s="136"/>
      <c r="E143" s="144"/>
      <c r="F143" s="21" t="s">
        <v>177</v>
      </c>
      <c r="G143" s="14" t="s">
        <v>13</v>
      </c>
      <c r="H143" s="22">
        <f>996+108</f>
        <v>1104</v>
      </c>
      <c r="I143" s="22">
        <f>921+102</f>
        <v>1023</v>
      </c>
      <c r="J143" s="15">
        <f>872+97</f>
        <v>969</v>
      </c>
      <c r="K143" s="31">
        <f>819+91</f>
        <v>910</v>
      </c>
      <c r="L143" s="31">
        <f>768+85</f>
        <v>853</v>
      </c>
      <c r="M143" s="31">
        <f>717+80</f>
        <v>797</v>
      </c>
      <c r="N143" s="31">
        <f>668+74</f>
        <v>742</v>
      </c>
      <c r="O143" s="30">
        <f>4037+448</f>
        <v>4485</v>
      </c>
      <c r="P143" s="15">
        <f t="shared" si="74"/>
        <v>10883</v>
      </c>
    </row>
    <row r="144" spans="1:16" ht="15.75" customHeight="1" x14ac:dyDescent="0.25">
      <c r="A144" s="151"/>
      <c r="B144" s="134"/>
      <c r="C144" s="135"/>
      <c r="D144" s="136"/>
      <c r="E144" s="144"/>
      <c r="F144" s="16"/>
      <c r="G144" s="16" t="s">
        <v>14</v>
      </c>
      <c r="H144" s="17">
        <f t="shared" ref="H144:O144" si="79">SUM(H142:H143)</f>
        <v>3336</v>
      </c>
      <c r="I144" s="17">
        <f t="shared" si="79"/>
        <v>3255</v>
      </c>
      <c r="J144" s="17">
        <f t="shared" si="79"/>
        <v>3201</v>
      </c>
      <c r="K144" s="17">
        <f t="shared" si="79"/>
        <v>3142</v>
      </c>
      <c r="L144" s="17">
        <f t="shared" si="79"/>
        <v>3085</v>
      </c>
      <c r="M144" s="17">
        <f t="shared" si="79"/>
        <v>3029</v>
      </c>
      <c r="N144" s="17">
        <f t="shared" si="79"/>
        <v>2974</v>
      </c>
      <c r="O144" s="17">
        <f t="shared" si="79"/>
        <v>31817</v>
      </c>
      <c r="P144" s="18">
        <f t="shared" si="74"/>
        <v>53839</v>
      </c>
    </row>
    <row r="145" spans="1:16" ht="18.600000000000001" customHeight="1" x14ac:dyDescent="0.25">
      <c r="A145" s="149">
        <f t="shared" ref="A145" si="80">A142+1</f>
        <v>46</v>
      </c>
      <c r="B145" s="134" t="s">
        <v>8</v>
      </c>
      <c r="C145" s="135" t="s">
        <v>178</v>
      </c>
      <c r="D145" s="136">
        <v>42207</v>
      </c>
      <c r="E145" s="144" t="s">
        <v>179</v>
      </c>
      <c r="F145" s="24" t="s">
        <v>180</v>
      </c>
      <c r="G145" s="12" t="s">
        <v>12</v>
      </c>
      <c r="H145" s="13">
        <f t="shared" ref="H145:K145" si="81">24780+572</f>
        <v>25352</v>
      </c>
      <c r="I145" s="13">
        <f t="shared" si="81"/>
        <v>25352</v>
      </c>
      <c r="J145" s="13">
        <f t="shared" si="81"/>
        <v>25352</v>
      </c>
      <c r="K145" s="13">
        <f t="shared" si="81"/>
        <v>25352</v>
      </c>
      <c r="L145" s="13">
        <f>18585+413</f>
        <v>18998</v>
      </c>
      <c r="M145" s="13">
        <v>0</v>
      </c>
      <c r="N145" s="13">
        <v>0</v>
      </c>
      <c r="O145" s="13">
        <v>0</v>
      </c>
      <c r="P145" s="13">
        <f t="shared" si="74"/>
        <v>120406</v>
      </c>
    </row>
    <row r="146" spans="1:16" ht="15.75" customHeight="1" x14ac:dyDescent="0.25">
      <c r="A146" s="150"/>
      <c r="B146" s="134"/>
      <c r="C146" s="135"/>
      <c r="D146" s="136"/>
      <c r="E146" s="144"/>
      <c r="F146" s="21" t="s">
        <v>181</v>
      </c>
      <c r="G146" s="14" t="s">
        <v>13</v>
      </c>
      <c r="H146" s="15">
        <f>2615+295</f>
        <v>2910</v>
      </c>
      <c r="I146" s="15">
        <f>2079+231</f>
        <v>2310</v>
      </c>
      <c r="J146" s="15">
        <f>1504+167</f>
        <v>1671</v>
      </c>
      <c r="K146" s="31">
        <f>921+102</f>
        <v>1023</v>
      </c>
      <c r="L146" s="31">
        <f>319+35</f>
        <v>354</v>
      </c>
      <c r="M146" s="31">
        <v>0</v>
      </c>
      <c r="N146" s="31">
        <v>0</v>
      </c>
      <c r="O146" s="31">
        <v>0</v>
      </c>
      <c r="P146" s="15">
        <f t="shared" si="74"/>
        <v>8268</v>
      </c>
    </row>
    <row r="147" spans="1:16" ht="15.75" customHeight="1" x14ac:dyDescent="0.25">
      <c r="A147" s="151"/>
      <c r="B147" s="134"/>
      <c r="C147" s="135"/>
      <c r="D147" s="136"/>
      <c r="E147" s="144"/>
      <c r="F147" s="16"/>
      <c r="G147" s="16" t="s">
        <v>14</v>
      </c>
      <c r="H147" s="17">
        <f t="shared" ref="H147:O147" si="82">SUM(H145:H146)</f>
        <v>28262</v>
      </c>
      <c r="I147" s="17">
        <f t="shared" si="82"/>
        <v>27662</v>
      </c>
      <c r="J147" s="17">
        <f t="shared" si="82"/>
        <v>27023</v>
      </c>
      <c r="K147" s="17">
        <f t="shared" si="82"/>
        <v>26375</v>
      </c>
      <c r="L147" s="17">
        <f t="shared" si="82"/>
        <v>19352</v>
      </c>
      <c r="M147" s="17">
        <f t="shared" si="82"/>
        <v>0</v>
      </c>
      <c r="N147" s="17">
        <f t="shared" si="82"/>
        <v>0</v>
      </c>
      <c r="O147" s="17">
        <f t="shared" si="82"/>
        <v>0</v>
      </c>
      <c r="P147" s="18">
        <f t="shared" si="74"/>
        <v>128674</v>
      </c>
    </row>
    <row r="148" spans="1:16" ht="16.899999999999999" customHeight="1" x14ac:dyDescent="0.25">
      <c r="A148" s="149">
        <f t="shared" ref="A148" si="83">A145+1</f>
        <v>47</v>
      </c>
      <c r="B148" s="134" t="s">
        <v>8</v>
      </c>
      <c r="C148" s="135" t="s">
        <v>182</v>
      </c>
      <c r="D148" s="136">
        <v>42207</v>
      </c>
      <c r="E148" s="144" t="s">
        <v>183</v>
      </c>
      <c r="F148" s="24" t="s">
        <v>184</v>
      </c>
      <c r="G148" s="12" t="s">
        <v>12</v>
      </c>
      <c r="H148" s="13">
        <f t="shared" ref="H148:L148" si="84">4760+112</f>
        <v>4872</v>
      </c>
      <c r="I148" s="13">
        <f t="shared" si="84"/>
        <v>4872</v>
      </c>
      <c r="J148" s="13">
        <f t="shared" si="84"/>
        <v>4872</v>
      </c>
      <c r="K148" s="13">
        <f t="shared" si="84"/>
        <v>4872</v>
      </c>
      <c r="L148" s="13">
        <f t="shared" si="84"/>
        <v>4872</v>
      </c>
      <c r="M148" s="13">
        <v>4872</v>
      </c>
      <c r="N148" s="13">
        <v>4872</v>
      </c>
      <c r="O148" s="13">
        <f>27370-4760+501-4872-4872</f>
        <v>13367</v>
      </c>
      <c r="P148" s="13">
        <f t="shared" si="74"/>
        <v>47471</v>
      </c>
    </row>
    <row r="149" spans="1:16" ht="16.5" customHeight="1" x14ac:dyDescent="0.25">
      <c r="A149" s="150"/>
      <c r="B149" s="134"/>
      <c r="C149" s="135"/>
      <c r="D149" s="136"/>
      <c r="E149" s="144"/>
      <c r="F149" s="21" t="s">
        <v>185</v>
      </c>
      <c r="G149" s="14" t="s">
        <v>13</v>
      </c>
      <c r="H149" s="15">
        <f>1048+118</f>
        <v>1166</v>
      </c>
      <c r="I149" s="15">
        <f>955+106</f>
        <v>1061</v>
      </c>
      <c r="J149" s="15">
        <f>846+93</f>
        <v>939</v>
      </c>
      <c r="K149" s="31">
        <f>732+81</f>
        <v>813</v>
      </c>
      <c r="L149" s="31">
        <f>621+69</f>
        <v>690</v>
      </c>
      <c r="M149" s="31">
        <f>510+57</f>
        <v>567</v>
      </c>
      <c r="N149" s="31">
        <f>400+44</f>
        <v>444</v>
      </c>
      <c r="O149" s="30">
        <f>525+58</f>
        <v>583</v>
      </c>
      <c r="P149" s="15">
        <f t="shared" si="74"/>
        <v>6263</v>
      </c>
    </row>
    <row r="150" spans="1:16" ht="16.5" customHeight="1" x14ac:dyDescent="0.25">
      <c r="A150" s="151"/>
      <c r="B150" s="146"/>
      <c r="C150" s="148"/>
      <c r="D150" s="138"/>
      <c r="E150" s="141"/>
      <c r="F150" s="25"/>
      <c r="G150" s="25" t="s">
        <v>14</v>
      </c>
      <c r="H150" s="17">
        <f t="shared" ref="H150:O150" si="85">SUM(H148:H149)</f>
        <v>6038</v>
      </c>
      <c r="I150" s="17">
        <f t="shared" si="85"/>
        <v>5933</v>
      </c>
      <c r="J150" s="17">
        <f t="shared" si="85"/>
        <v>5811</v>
      </c>
      <c r="K150" s="17">
        <f t="shared" si="85"/>
        <v>5685</v>
      </c>
      <c r="L150" s="17">
        <f t="shared" si="85"/>
        <v>5562</v>
      </c>
      <c r="M150" s="17">
        <f t="shared" si="85"/>
        <v>5439</v>
      </c>
      <c r="N150" s="17">
        <f t="shared" si="85"/>
        <v>5316</v>
      </c>
      <c r="O150" s="17">
        <f t="shared" si="85"/>
        <v>13950</v>
      </c>
      <c r="P150" s="18">
        <f t="shared" si="74"/>
        <v>53734</v>
      </c>
    </row>
    <row r="151" spans="1:16" ht="15" customHeight="1" x14ac:dyDescent="0.25">
      <c r="A151" s="149">
        <f t="shared" ref="A151" si="86">A148+1</f>
        <v>48</v>
      </c>
      <c r="B151" s="134" t="s">
        <v>8</v>
      </c>
      <c r="C151" s="135" t="s">
        <v>186</v>
      </c>
      <c r="D151" s="136">
        <v>42214</v>
      </c>
      <c r="E151" s="144" t="s">
        <v>179</v>
      </c>
      <c r="F151" s="24" t="s">
        <v>187</v>
      </c>
      <c r="G151" s="12" t="s">
        <v>12</v>
      </c>
      <c r="H151" s="13">
        <v>17356</v>
      </c>
      <c r="I151" s="13">
        <v>17356</v>
      </c>
      <c r="J151" s="13">
        <v>17356</v>
      </c>
      <c r="K151" s="13">
        <v>17356</v>
      </c>
      <c r="L151" s="13">
        <f>13013</f>
        <v>13013</v>
      </c>
      <c r="M151" s="13">
        <v>0</v>
      </c>
      <c r="N151" s="13">
        <v>0</v>
      </c>
      <c r="O151" s="13">
        <v>0</v>
      </c>
      <c r="P151" s="13">
        <f t="shared" si="74"/>
        <v>82437</v>
      </c>
    </row>
    <row r="152" spans="1:16" ht="15" customHeight="1" x14ac:dyDescent="0.25">
      <c r="A152" s="150"/>
      <c r="B152" s="134"/>
      <c r="C152" s="135"/>
      <c r="D152" s="136"/>
      <c r="E152" s="144"/>
      <c r="F152" s="29" t="s">
        <v>188</v>
      </c>
      <c r="G152" s="14" t="s">
        <v>13</v>
      </c>
      <c r="H152" s="15">
        <f>1756+202</f>
        <v>1958</v>
      </c>
      <c r="I152" s="15">
        <f>1423+158</f>
        <v>1581</v>
      </c>
      <c r="J152" s="15">
        <f>1030+114</f>
        <v>1144</v>
      </c>
      <c r="K152" s="31">
        <f>631+70</f>
        <v>701</v>
      </c>
      <c r="L152" s="31">
        <f>218+24</f>
        <v>242</v>
      </c>
      <c r="M152" s="31">
        <v>0</v>
      </c>
      <c r="N152" s="15">
        <v>0</v>
      </c>
      <c r="O152" s="31">
        <v>0</v>
      </c>
      <c r="P152" s="15">
        <f t="shared" si="74"/>
        <v>5626</v>
      </c>
    </row>
    <row r="153" spans="1:16" ht="15" customHeight="1" x14ac:dyDescent="0.25">
      <c r="A153" s="151"/>
      <c r="B153" s="134"/>
      <c r="C153" s="135"/>
      <c r="D153" s="136"/>
      <c r="E153" s="144"/>
      <c r="F153" s="16"/>
      <c r="G153" s="16" t="s">
        <v>14</v>
      </c>
      <c r="H153" s="17">
        <f t="shared" ref="H153:O153" si="87">SUM(H151:H152)</f>
        <v>19314</v>
      </c>
      <c r="I153" s="17">
        <f t="shared" si="87"/>
        <v>18937</v>
      </c>
      <c r="J153" s="17">
        <f t="shared" si="87"/>
        <v>18500</v>
      </c>
      <c r="K153" s="17">
        <f t="shared" si="87"/>
        <v>18057</v>
      </c>
      <c r="L153" s="17">
        <f t="shared" si="87"/>
        <v>13255</v>
      </c>
      <c r="M153" s="17">
        <f t="shared" si="87"/>
        <v>0</v>
      </c>
      <c r="N153" s="17">
        <f t="shared" si="87"/>
        <v>0</v>
      </c>
      <c r="O153" s="17">
        <f t="shared" si="87"/>
        <v>0</v>
      </c>
      <c r="P153" s="18">
        <f t="shared" si="74"/>
        <v>88063</v>
      </c>
    </row>
    <row r="154" spans="1:16" ht="15.75" customHeight="1" x14ac:dyDescent="0.25">
      <c r="A154" s="149">
        <f t="shared" ref="A154" si="88">A151+1</f>
        <v>49</v>
      </c>
      <c r="B154" s="134" t="s">
        <v>8</v>
      </c>
      <c r="C154" s="135" t="s">
        <v>189</v>
      </c>
      <c r="D154" s="136">
        <v>42215</v>
      </c>
      <c r="E154" s="144" t="s">
        <v>183</v>
      </c>
      <c r="F154" s="24" t="s">
        <v>190</v>
      </c>
      <c r="G154" s="12" t="s">
        <v>12</v>
      </c>
      <c r="H154" s="13">
        <v>14224</v>
      </c>
      <c r="I154" s="13">
        <v>14224</v>
      </c>
      <c r="J154" s="13">
        <v>14224</v>
      </c>
      <c r="K154" s="13">
        <v>14224</v>
      </c>
      <c r="L154" s="13">
        <v>14224</v>
      </c>
      <c r="M154" s="13">
        <v>14224</v>
      </c>
      <c r="N154" s="13">
        <v>14224</v>
      </c>
      <c r="O154" s="13">
        <f>79856-13888+1574-14224-14224</f>
        <v>39094</v>
      </c>
      <c r="P154" s="13">
        <f t="shared" si="74"/>
        <v>138662</v>
      </c>
    </row>
    <row r="155" spans="1:16" ht="12.75" customHeight="1" x14ac:dyDescent="0.25">
      <c r="A155" s="150"/>
      <c r="B155" s="134"/>
      <c r="C155" s="135"/>
      <c r="D155" s="136"/>
      <c r="E155" s="144"/>
      <c r="F155" s="21" t="s">
        <v>191</v>
      </c>
      <c r="G155" s="14" t="s">
        <v>13</v>
      </c>
      <c r="H155" s="15">
        <f>3004+346</f>
        <v>3350</v>
      </c>
      <c r="I155" s="22">
        <f>2788+310</f>
        <v>3098</v>
      </c>
      <c r="J155" s="15">
        <f>2470+275</f>
        <v>2745</v>
      </c>
      <c r="K155" s="31">
        <f>2139+238</f>
        <v>2377</v>
      </c>
      <c r="L155" s="31">
        <f>1814+202</f>
        <v>2016</v>
      </c>
      <c r="M155" s="31">
        <f>1490+166</f>
        <v>1656</v>
      </c>
      <c r="N155" s="31">
        <f>1170+130</f>
        <v>1300</v>
      </c>
      <c r="O155" s="31">
        <f>1536+171</f>
        <v>1707</v>
      </c>
      <c r="P155" s="15">
        <f t="shared" si="74"/>
        <v>18249</v>
      </c>
    </row>
    <row r="156" spans="1:16" ht="17.25" customHeight="1" x14ac:dyDescent="0.25">
      <c r="A156" s="151"/>
      <c r="B156" s="134"/>
      <c r="C156" s="135"/>
      <c r="D156" s="136"/>
      <c r="E156" s="144"/>
      <c r="F156" s="16"/>
      <c r="G156" s="16" t="s">
        <v>14</v>
      </c>
      <c r="H156" s="17">
        <f t="shared" ref="H156:O156" si="89">SUM(H154:H155)</f>
        <v>17574</v>
      </c>
      <c r="I156" s="17">
        <f t="shared" si="89"/>
        <v>17322</v>
      </c>
      <c r="J156" s="17">
        <f t="shared" si="89"/>
        <v>16969</v>
      </c>
      <c r="K156" s="17">
        <f t="shared" si="89"/>
        <v>16601</v>
      </c>
      <c r="L156" s="17">
        <f t="shared" si="89"/>
        <v>16240</v>
      </c>
      <c r="M156" s="17">
        <f t="shared" si="89"/>
        <v>15880</v>
      </c>
      <c r="N156" s="17">
        <f t="shared" si="89"/>
        <v>15524</v>
      </c>
      <c r="O156" s="17">
        <f t="shared" si="89"/>
        <v>40801</v>
      </c>
      <c r="P156" s="18">
        <f t="shared" si="74"/>
        <v>156911</v>
      </c>
    </row>
    <row r="157" spans="1:16" ht="15.75" customHeight="1" x14ac:dyDescent="0.25">
      <c r="A157" s="149">
        <f t="shared" ref="A157" si="90">A154+1</f>
        <v>50</v>
      </c>
      <c r="B157" s="134" t="s">
        <v>8</v>
      </c>
      <c r="C157" s="135" t="s">
        <v>192</v>
      </c>
      <c r="D157" s="156">
        <v>42298</v>
      </c>
      <c r="E157" s="144" t="s">
        <v>193</v>
      </c>
      <c r="F157" s="24" t="s">
        <v>194</v>
      </c>
      <c r="G157" s="12" t="s">
        <v>12</v>
      </c>
      <c r="H157" s="13">
        <v>2780</v>
      </c>
      <c r="I157" s="13">
        <v>2780</v>
      </c>
      <c r="J157" s="13">
        <v>2780</v>
      </c>
      <c r="K157" s="13">
        <v>2780</v>
      </c>
      <c r="L157" s="13">
        <v>2769</v>
      </c>
      <c r="M157" s="13">
        <v>0</v>
      </c>
      <c r="N157" s="13">
        <v>0</v>
      </c>
      <c r="O157" s="13">
        <v>0</v>
      </c>
      <c r="P157" s="13">
        <f t="shared" si="74"/>
        <v>13889</v>
      </c>
    </row>
    <row r="158" spans="1:16" ht="15.75" customHeight="1" x14ac:dyDescent="0.25">
      <c r="A158" s="150"/>
      <c r="B158" s="134"/>
      <c r="C158" s="135"/>
      <c r="D158" s="156"/>
      <c r="E158" s="144"/>
      <c r="F158" s="21" t="s">
        <v>195</v>
      </c>
      <c r="G158" s="14" t="s">
        <v>13</v>
      </c>
      <c r="H158" s="15">
        <f>310+34</f>
        <v>344</v>
      </c>
      <c r="I158" s="15">
        <f>243+27</f>
        <v>270</v>
      </c>
      <c r="J158" s="15">
        <f>180+20</f>
        <v>200</v>
      </c>
      <c r="K158" s="31">
        <f>117+13</f>
        <v>130</v>
      </c>
      <c r="L158" s="31">
        <f>53+6</f>
        <v>59</v>
      </c>
      <c r="M158" s="31">
        <v>1</v>
      </c>
      <c r="N158" s="15">
        <v>0</v>
      </c>
      <c r="O158" s="31">
        <v>0</v>
      </c>
      <c r="P158" s="15">
        <f t="shared" si="74"/>
        <v>1004</v>
      </c>
    </row>
    <row r="159" spans="1:16" ht="15.75" customHeight="1" x14ac:dyDescent="0.25">
      <c r="A159" s="151"/>
      <c r="B159" s="134"/>
      <c r="C159" s="135"/>
      <c r="D159" s="156"/>
      <c r="E159" s="144"/>
      <c r="F159" s="16"/>
      <c r="G159" s="16" t="s">
        <v>14</v>
      </c>
      <c r="H159" s="17">
        <f t="shared" ref="H159:O159" si="91">SUM(H157:H158)</f>
        <v>3124</v>
      </c>
      <c r="I159" s="17">
        <f t="shared" si="91"/>
        <v>3050</v>
      </c>
      <c r="J159" s="17">
        <f t="shared" si="91"/>
        <v>2980</v>
      </c>
      <c r="K159" s="17">
        <f t="shared" si="91"/>
        <v>2910</v>
      </c>
      <c r="L159" s="17">
        <f t="shared" si="91"/>
        <v>2828</v>
      </c>
      <c r="M159" s="17">
        <f t="shared" si="91"/>
        <v>1</v>
      </c>
      <c r="N159" s="17">
        <f t="shared" si="91"/>
        <v>0</v>
      </c>
      <c r="O159" s="17">
        <f t="shared" si="91"/>
        <v>0</v>
      </c>
      <c r="P159" s="18">
        <f t="shared" si="74"/>
        <v>14893</v>
      </c>
    </row>
    <row r="160" spans="1:16" ht="17.25" customHeight="1" x14ac:dyDescent="0.25">
      <c r="A160" s="149">
        <f t="shared" ref="A160:A163" si="92">A157+1</f>
        <v>51</v>
      </c>
      <c r="B160" s="134" t="s">
        <v>8</v>
      </c>
      <c r="C160" s="135" t="s">
        <v>196</v>
      </c>
      <c r="D160" s="136">
        <v>42612</v>
      </c>
      <c r="E160" s="144" t="s">
        <v>197</v>
      </c>
      <c r="F160" s="24" t="s">
        <v>198</v>
      </c>
      <c r="G160" s="12" t="s">
        <v>12</v>
      </c>
      <c r="H160" s="13">
        <v>20432</v>
      </c>
      <c r="I160" s="13">
        <v>20432</v>
      </c>
      <c r="J160" s="13">
        <v>20432</v>
      </c>
      <c r="K160" s="13">
        <v>20432</v>
      </c>
      <c r="L160" s="13">
        <v>20432</v>
      </c>
      <c r="M160" s="13">
        <v>20432</v>
      </c>
      <c r="N160" s="13">
        <v>20432</v>
      </c>
      <c r="O160" s="13">
        <f>134622-19944+2784-20432-20432</f>
        <v>76598</v>
      </c>
      <c r="P160" s="13">
        <f t="shared" si="74"/>
        <v>219622</v>
      </c>
    </row>
    <row r="161" spans="1:16" ht="16.5" customHeight="1" x14ac:dyDescent="0.25">
      <c r="A161" s="150"/>
      <c r="B161" s="134"/>
      <c r="C161" s="135"/>
      <c r="D161" s="136"/>
      <c r="E161" s="144"/>
      <c r="F161" s="21" t="s">
        <v>199</v>
      </c>
      <c r="G161" s="14" t="s">
        <v>13</v>
      </c>
      <c r="H161" s="15">
        <f>4879+549</f>
        <v>5428</v>
      </c>
      <c r="I161" s="15">
        <f>4472+497</f>
        <v>4969</v>
      </c>
      <c r="J161" s="15">
        <f>4016+446</f>
        <v>4462</v>
      </c>
      <c r="K161" s="31">
        <f>3539+393</f>
        <v>3932</v>
      </c>
      <c r="L161" s="31">
        <f>3073+341</f>
        <v>3414</v>
      </c>
      <c r="M161" s="31">
        <f>2607+290</f>
        <v>2897</v>
      </c>
      <c r="N161" s="31">
        <f>2148+239</f>
        <v>2387</v>
      </c>
      <c r="O161" s="31">
        <f>3892+432</f>
        <v>4324</v>
      </c>
      <c r="P161" s="15">
        <f t="shared" si="74"/>
        <v>31813</v>
      </c>
    </row>
    <row r="162" spans="1:16" ht="15.75" customHeight="1" x14ac:dyDescent="0.25">
      <c r="A162" s="151"/>
      <c r="B162" s="134"/>
      <c r="C162" s="135"/>
      <c r="D162" s="136"/>
      <c r="E162" s="144"/>
      <c r="F162" s="16"/>
      <c r="G162" s="16" t="s">
        <v>14</v>
      </c>
      <c r="H162" s="17">
        <f t="shared" ref="H162:O162" si="93">SUM(H160:H161)</f>
        <v>25860</v>
      </c>
      <c r="I162" s="17">
        <f t="shared" si="93"/>
        <v>25401</v>
      </c>
      <c r="J162" s="17">
        <f t="shared" si="93"/>
        <v>24894</v>
      </c>
      <c r="K162" s="17">
        <f t="shared" si="93"/>
        <v>24364</v>
      </c>
      <c r="L162" s="17">
        <f t="shared" si="93"/>
        <v>23846</v>
      </c>
      <c r="M162" s="17">
        <f t="shared" si="93"/>
        <v>23329</v>
      </c>
      <c r="N162" s="17">
        <f t="shared" si="93"/>
        <v>22819</v>
      </c>
      <c r="O162" s="17">
        <f t="shared" si="93"/>
        <v>80922</v>
      </c>
      <c r="P162" s="18">
        <f t="shared" si="74"/>
        <v>251435</v>
      </c>
    </row>
    <row r="163" spans="1:16" ht="17.25" customHeight="1" x14ac:dyDescent="0.25">
      <c r="A163" s="149">
        <f t="shared" si="92"/>
        <v>52</v>
      </c>
      <c r="B163" s="134" t="s">
        <v>8</v>
      </c>
      <c r="C163" s="135" t="s">
        <v>200</v>
      </c>
      <c r="D163" s="136">
        <v>42884</v>
      </c>
      <c r="E163" s="144" t="s">
        <v>201</v>
      </c>
      <c r="F163" s="24" t="s">
        <v>202</v>
      </c>
      <c r="G163" s="12" t="s">
        <v>12</v>
      </c>
      <c r="H163" s="13">
        <v>11504</v>
      </c>
      <c r="I163" s="13">
        <v>11504</v>
      </c>
      <c r="J163" s="13">
        <v>11504</v>
      </c>
      <c r="K163" s="13">
        <v>11504</v>
      </c>
      <c r="L163" s="13">
        <v>11504</v>
      </c>
      <c r="M163" s="13">
        <v>11504</v>
      </c>
      <c r="N163" s="13">
        <v>11504</v>
      </c>
      <c r="O163" s="13">
        <f>140750-11260+2742-11504-11504</f>
        <v>109224</v>
      </c>
      <c r="P163" s="13">
        <f t="shared" si="74"/>
        <v>189752</v>
      </c>
    </row>
    <row r="164" spans="1:16" ht="16.5" customHeight="1" x14ac:dyDescent="0.25">
      <c r="A164" s="150"/>
      <c r="B164" s="134"/>
      <c r="C164" s="135"/>
      <c r="D164" s="136"/>
      <c r="E164" s="144"/>
      <c r="F164" s="21" t="s">
        <v>203</v>
      </c>
      <c r="G164" s="14" t="s">
        <v>13</v>
      </c>
      <c r="H164" s="15">
        <f>4221+477</f>
        <v>4698</v>
      </c>
      <c r="I164" s="15">
        <f>4026+447</f>
        <v>4473</v>
      </c>
      <c r="J164" s="15">
        <f>3773+419</f>
        <v>4192</v>
      </c>
      <c r="K164" s="31">
        <f>3500+389</f>
        <v>3889</v>
      </c>
      <c r="L164" s="31">
        <f>3237+360</f>
        <v>3597</v>
      </c>
      <c r="M164" s="31">
        <f>2976+331</f>
        <v>3307</v>
      </c>
      <c r="N164" s="31">
        <f>2721+302</f>
        <v>3023</v>
      </c>
      <c r="O164" s="31">
        <f>12701+1411</f>
        <v>14112</v>
      </c>
      <c r="P164" s="15">
        <f t="shared" si="74"/>
        <v>41291</v>
      </c>
    </row>
    <row r="165" spans="1:16" ht="17.25" customHeight="1" x14ac:dyDescent="0.25">
      <c r="A165" s="151"/>
      <c r="B165" s="134"/>
      <c r="C165" s="135"/>
      <c r="D165" s="136"/>
      <c r="E165" s="144"/>
      <c r="F165" s="16"/>
      <c r="G165" s="16" t="s">
        <v>14</v>
      </c>
      <c r="H165" s="17">
        <f t="shared" ref="H165:O165" si="94">SUM(H163:H164)</f>
        <v>16202</v>
      </c>
      <c r="I165" s="17">
        <f t="shared" si="94"/>
        <v>15977</v>
      </c>
      <c r="J165" s="17">
        <f t="shared" si="94"/>
        <v>15696</v>
      </c>
      <c r="K165" s="17">
        <f t="shared" si="94"/>
        <v>15393</v>
      </c>
      <c r="L165" s="17">
        <f t="shared" si="94"/>
        <v>15101</v>
      </c>
      <c r="M165" s="17">
        <f t="shared" si="94"/>
        <v>14811</v>
      </c>
      <c r="N165" s="17">
        <f t="shared" si="94"/>
        <v>14527</v>
      </c>
      <c r="O165" s="17">
        <f t="shared" si="94"/>
        <v>123336</v>
      </c>
      <c r="P165" s="18">
        <f t="shared" si="74"/>
        <v>231043</v>
      </c>
    </row>
    <row r="166" spans="1:16" ht="16.5" customHeight="1" x14ac:dyDescent="0.25">
      <c r="A166" s="149">
        <f t="shared" ref="A166" si="95">A163+1</f>
        <v>53</v>
      </c>
      <c r="B166" s="134" t="s">
        <v>8</v>
      </c>
      <c r="C166" s="135" t="s">
        <v>204</v>
      </c>
      <c r="D166" s="136">
        <v>42943</v>
      </c>
      <c r="E166" s="144" t="s">
        <v>205</v>
      </c>
      <c r="F166" s="24" t="s">
        <v>206</v>
      </c>
      <c r="G166" s="12" t="s">
        <v>12</v>
      </c>
      <c r="H166" s="13">
        <v>13872</v>
      </c>
      <c r="I166" s="13">
        <v>13872</v>
      </c>
      <c r="J166" s="13">
        <v>13872</v>
      </c>
      <c r="K166" s="13">
        <v>13872</v>
      </c>
      <c r="L166" s="13">
        <v>13872</v>
      </c>
      <c r="M166" s="13">
        <v>13872</v>
      </c>
      <c r="N166" s="13">
        <v>10403</v>
      </c>
      <c r="O166" s="13">
        <v>0</v>
      </c>
      <c r="P166" s="13">
        <f t="shared" si="74"/>
        <v>93635</v>
      </c>
    </row>
    <row r="167" spans="1:16" ht="16.5" customHeight="1" x14ac:dyDescent="0.25">
      <c r="A167" s="150"/>
      <c r="B167" s="134"/>
      <c r="C167" s="135"/>
      <c r="D167" s="136"/>
      <c r="E167" s="144"/>
      <c r="F167" s="21" t="s">
        <v>207</v>
      </c>
      <c r="G167" s="14" t="s">
        <v>13</v>
      </c>
      <c r="H167" s="15">
        <f>2015+232</f>
        <v>2247</v>
      </c>
      <c r="I167" s="15">
        <f>1771+196</f>
        <v>1967</v>
      </c>
      <c r="J167" s="15">
        <f>1458+162</f>
        <v>1620</v>
      </c>
      <c r="K167" s="31">
        <f>1137+126</f>
        <v>1263</v>
      </c>
      <c r="L167" s="31">
        <f>821+91</f>
        <v>912</v>
      </c>
      <c r="M167" s="31">
        <f>505+56</f>
        <v>561</v>
      </c>
      <c r="N167" s="31">
        <f>176+20</f>
        <v>196</v>
      </c>
      <c r="O167" s="31">
        <v>0</v>
      </c>
      <c r="P167" s="15">
        <f t="shared" si="74"/>
        <v>8766</v>
      </c>
    </row>
    <row r="168" spans="1:16" ht="17.25" customHeight="1" x14ac:dyDescent="0.25">
      <c r="A168" s="151"/>
      <c r="B168" s="134"/>
      <c r="C168" s="135"/>
      <c r="D168" s="136"/>
      <c r="E168" s="144"/>
      <c r="F168" s="16"/>
      <c r="G168" s="16" t="s">
        <v>14</v>
      </c>
      <c r="H168" s="17">
        <f t="shared" ref="H168:O168" si="96">SUM(H166:H167)</f>
        <v>16119</v>
      </c>
      <c r="I168" s="17">
        <f t="shared" si="96"/>
        <v>15839</v>
      </c>
      <c r="J168" s="17">
        <f t="shared" si="96"/>
        <v>15492</v>
      </c>
      <c r="K168" s="17">
        <f t="shared" si="96"/>
        <v>15135</v>
      </c>
      <c r="L168" s="17">
        <f t="shared" si="96"/>
        <v>14784</v>
      </c>
      <c r="M168" s="17">
        <f t="shared" si="96"/>
        <v>14433</v>
      </c>
      <c r="N168" s="17">
        <f t="shared" si="96"/>
        <v>10599</v>
      </c>
      <c r="O168" s="17">
        <f t="shared" si="96"/>
        <v>0</v>
      </c>
      <c r="P168" s="18">
        <f t="shared" si="74"/>
        <v>102401</v>
      </c>
    </row>
    <row r="169" spans="1:16" ht="17.25" customHeight="1" x14ac:dyDescent="0.25">
      <c r="A169" s="149">
        <f t="shared" ref="A169" si="97">A166+1</f>
        <v>54</v>
      </c>
      <c r="B169" s="134" t="s">
        <v>8</v>
      </c>
      <c r="C169" s="135" t="s">
        <v>208</v>
      </c>
      <c r="D169" s="136">
        <v>42957</v>
      </c>
      <c r="E169" s="144" t="s">
        <v>205</v>
      </c>
      <c r="F169" s="24" t="s">
        <v>209</v>
      </c>
      <c r="G169" s="12" t="s">
        <v>12</v>
      </c>
      <c r="H169" s="13">
        <f t="shared" ref="H169:L169" si="98">7260+176</f>
        <v>7436</v>
      </c>
      <c r="I169" s="13">
        <f t="shared" si="98"/>
        <v>7436</v>
      </c>
      <c r="J169" s="13">
        <f t="shared" si="98"/>
        <v>7436</v>
      </c>
      <c r="K169" s="13">
        <f t="shared" si="98"/>
        <v>7436</v>
      </c>
      <c r="L169" s="13">
        <f t="shared" si="98"/>
        <v>7436</v>
      </c>
      <c r="M169" s="13">
        <v>7436</v>
      </c>
      <c r="N169" s="13">
        <v>5564</v>
      </c>
      <c r="O169" s="13">
        <v>0</v>
      </c>
      <c r="P169" s="13">
        <f t="shared" si="74"/>
        <v>50180</v>
      </c>
    </row>
    <row r="170" spans="1:16" ht="15.75" customHeight="1" x14ac:dyDescent="0.25">
      <c r="A170" s="150"/>
      <c r="B170" s="134"/>
      <c r="C170" s="135"/>
      <c r="D170" s="136"/>
      <c r="E170" s="144"/>
      <c r="F170" s="21" t="s">
        <v>210</v>
      </c>
      <c r="G170" s="14" t="s">
        <v>13</v>
      </c>
      <c r="H170" s="15">
        <f>1102+124</f>
        <v>1226</v>
      </c>
      <c r="I170" s="15">
        <f>949+106</f>
        <v>1055</v>
      </c>
      <c r="J170" s="15">
        <f>781+87</f>
        <v>868</v>
      </c>
      <c r="K170" s="31">
        <f>609+68</f>
        <v>677</v>
      </c>
      <c r="L170" s="31">
        <f>440+49</f>
        <v>489</v>
      </c>
      <c r="M170" s="31">
        <f>270+30</f>
        <v>300</v>
      </c>
      <c r="N170" s="31">
        <f>94+11</f>
        <v>105</v>
      </c>
      <c r="O170" s="31">
        <f>94+10</f>
        <v>104</v>
      </c>
      <c r="P170" s="15">
        <f t="shared" si="74"/>
        <v>4824</v>
      </c>
    </row>
    <row r="171" spans="1:16" ht="17.25" customHeight="1" x14ac:dyDescent="0.25">
      <c r="A171" s="151"/>
      <c r="B171" s="134"/>
      <c r="C171" s="135"/>
      <c r="D171" s="136"/>
      <c r="E171" s="144"/>
      <c r="F171" s="16"/>
      <c r="G171" s="16" t="s">
        <v>14</v>
      </c>
      <c r="H171" s="17">
        <f t="shared" ref="H171:O171" si="99">SUM(H169:H170)</f>
        <v>8662</v>
      </c>
      <c r="I171" s="17">
        <f t="shared" si="99"/>
        <v>8491</v>
      </c>
      <c r="J171" s="17">
        <f t="shared" si="99"/>
        <v>8304</v>
      </c>
      <c r="K171" s="17">
        <f t="shared" si="99"/>
        <v>8113</v>
      </c>
      <c r="L171" s="17">
        <f t="shared" si="99"/>
        <v>7925</v>
      </c>
      <c r="M171" s="17">
        <f t="shared" si="99"/>
        <v>7736</v>
      </c>
      <c r="N171" s="17">
        <f t="shared" si="99"/>
        <v>5669</v>
      </c>
      <c r="O171" s="17">
        <f t="shared" si="99"/>
        <v>104</v>
      </c>
      <c r="P171" s="18">
        <f t="shared" si="74"/>
        <v>55004</v>
      </c>
    </row>
    <row r="172" spans="1:16" ht="15.75" customHeight="1" x14ac:dyDescent="0.25">
      <c r="A172" s="149">
        <f t="shared" ref="A172" si="100">A169+1</f>
        <v>55</v>
      </c>
      <c r="B172" s="134" t="s">
        <v>8</v>
      </c>
      <c r="C172" s="145" t="s">
        <v>211</v>
      </c>
      <c r="D172" s="136">
        <v>42989</v>
      </c>
      <c r="E172" s="144" t="s">
        <v>212</v>
      </c>
      <c r="F172" s="24" t="s">
        <v>213</v>
      </c>
      <c r="G172" s="12" t="s">
        <v>12</v>
      </c>
      <c r="H172" s="13">
        <f t="shared" ref="H172:L172" si="101">4568+92</f>
        <v>4660</v>
      </c>
      <c r="I172" s="13">
        <f t="shared" si="101"/>
        <v>4660</v>
      </c>
      <c r="J172" s="13">
        <f t="shared" si="101"/>
        <v>4660</v>
      </c>
      <c r="K172" s="13">
        <f t="shared" si="101"/>
        <v>4660</v>
      </c>
      <c r="L172" s="13">
        <f t="shared" si="101"/>
        <v>4660</v>
      </c>
      <c r="M172" s="13">
        <v>4660</v>
      </c>
      <c r="N172" s="13">
        <v>4660</v>
      </c>
      <c r="O172" s="13">
        <f>35402-4568+619-4660-4660</f>
        <v>22133</v>
      </c>
      <c r="P172" s="13">
        <f t="shared" si="74"/>
        <v>54753</v>
      </c>
    </row>
    <row r="173" spans="1:16" ht="14.25" customHeight="1" x14ac:dyDescent="0.25">
      <c r="A173" s="150"/>
      <c r="B173" s="134"/>
      <c r="C173" s="145"/>
      <c r="D173" s="136"/>
      <c r="E173" s="144"/>
      <c r="F173" s="21" t="s">
        <v>214</v>
      </c>
      <c r="G173" s="14" t="s">
        <v>13</v>
      </c>
      <c r="H173" s="15">
        <f>1223+137</f>
        <v>1360</v>
      </c>
      <c r="I173" s="15">
        <f>1126+125</f>
        <v>1251</v>
      </c>
      <c r="J173" s="15">
        <f>1023+113</f>
        <v>1136</v>
      </c>
      <c r="K173" s="31">
        <f>913+102</f>
        <v>1015</v>
      </c>
      <c r="L173" s="31">
        <f>807+90</f>
        <v>897</v>
      </c>
      <c r="M173" s="31">
        <f>701+78</f>
        <v>779</v>
      </c>
      <c r="N173" s="31">
        <f>597+66</f>
        <v>663</v>
      </c>
      <c r="O173" s="31">
        <f>1377+153</f>
        <v>1530</v>
      </c>
      <c r="P173" s="15">
        <f t="shared" si="74"/>
        <v>8631</v>
      </c>
    </row>
    <row r="174" spans="1:16" ht="14.25" customHeight="1" x14ac:dyDescent="0.25">
      <c r="A174" s="151"/>
      <c r="B174" s="134"/>
      <c r="C174" s="145"/>
      <c r="D174" s="136"/>
      <c r="E174" s="144"/>
      <c r="F174" s="16"/>
      <c r="G174" s="16" t="s">
        <v>14</v>
      </c>
      <c r="H174" s="17">
        <f t="shared" ref="H174:O174" si="102">SUM(H172:H173)</f>
        <v>6020</v>
      </c>
      <c r="I174" s="17">
        <f t="shared" si="102"/>
        <v>5911</v>
      </c>
      <c r="J174" s="17">
        <f t="shared" si="102"/>
        <v>5796</v>
      </c>
      <c r="K174" s="17">
        <f t="shared" si="102"/>
        <v>5675</v>
      </c>
      <c r="L174" s="17">
        <f t="shared" si="102"/>
        <v>5557</v>
      </c>
      <c r="M174" s="17">
        <f t="shared" si="102"/>
        <v>5439</v>
      </c>
      <c r="N174" s="17">
        <f t="shared" si="102"/>
        <v>5323</v>
      </c>
      <c r="O174" s="17">
        <f t="shared" si="102"/>
        <v>23663</v>
      </c>
      <c r="P174" s="18">
        <f t="shared" si="74"/>
        <v>63384</v>
      </c>
    </row>
    <row r="175" spans="1:16" ht="18.600000000000001" customHeight="1" x14ac:dyDescent="0.25">
      <c r="A175" s="149">
        <f t="shared" ref="A175" si="103">A172+1</f>
        <v>56</v>
      </c>
      <c r="B175" s="134" t="s">
        <v>8</v>
      </c>
      <c r="C175" s="135" t="s">
        <v>215</v>
      </c>
      <c r="D175" s="136">
        <v>42993</v>
      </c>
      <c r="E175" s="158" t="s">
        <v>34</v>
      </c>
      <c r="F175" s="24" t="s">
        <v>216</v>
      </c>
      <c r="G175" s="12" t="s">
        <v>12</v>
      </c>
      <c r="H175" s="13">
        <f>4788+88</f>
        <v>4876</v>
      </c>
      <c r="I175" s="13">
        <f>3591+59</f>
        <v>3650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0">
        <v>0</v>
      </c>
      <c r="P175" s="13">
        <f t="shared" si="74"/>
        <v>8526</v>
      </c>
    </row>
    <row r="176" spans="1:16" ht="15" customHeight="1" x14ac:dyDescent="0.25">
      <c r="A176" s="150"/>
      <c r="B176" s="134"/>
      <c r="C176" s="135"/>
      <c r="D176" s="136"/>
      <c r="E176" s="158"/>
      <c r="F176" s="21" t="s">
        <v>217</v>
      </c>
      <c r="G176" s="14" t="s">
        <v>13</v>
      </c>
      <c r="H176" s="15">
        <f>176+20</f>
        <v>196</v>
      </c>
      <c r="I176" s="15">
        <f>66+7</f>
        <v>73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23">
        <v>0</v>
      </c>
      <c r="P176" s="15">
        <f t="shared" si="74"/>
        <v>269</v>
      </c>
    </row>
    <row r="177" spans="1:16" ht="15" customHeight="1" x14ac:dyDescent="0.25">
      <c r="A177" s="151"/>
      <c r="B177" s="134"/>
      <c r="C177" s="135"/>
      <c r="D177" s="136"/>
      <c r="E177" s="158"/>
      <c r="F177" s="16"/>
      <c r="G177" s="16" t="s">
        <v>14</v>
      </c>
      <c r="H177" s="17">
        <f t="shared" ref="H177:O177" si="104">SUM(H175:H176)</f>
        <v>5072</v>
      </c>
      <c r="I177" s="17">
        <f t="shared" si="104"/>
        <v>3723</v>
      </c>
      <c r="J177" s="17">
        <f t="shared" si="104"/>
        <v>0</v>
      </c>
      <c r="K177" s="17">
        <f t="shared" si="104"/>
        <v>0</v>
      </c>
      <c r="L177" s="17">
        <f>SUM(L175:L176)</f>
        <v>0</v>
      </c>
      <c r="M177" s="17">
        <f t="shared" ref="M177:N177" si="105">SUM(M175:M176)</f>
        <v>0</v>
      </c>
      <c r="N177" s="17">
        <f t="shared" si="105"/>
        <v>0</v>
      </c>
      <c r="O177" s="17">
        <f t="shared" si="104"/>
        <v>0</v>
      </c>
      <c r="P177" s="18">
        <f t="shared" si="74"/>
        <v>8795</v>
      </c>
    </row>
    <row r="178" spans="1:16" ht="15" customHeight="1" x14ac:dyDescent="0.25">
      <c r="A178" s="149">
        <f t="shared" ref="A178" si="106">A175+1</f>
        <v>57</v>
      </c>
      <c r="B178" s="134" t="s">
        <v>8</v>
      </c>
      <c r="C178" s="135" t="s">
        <v>218</v>
      </c>
      <c r="D178" s="136">
        <v>43012</v>
      </c>
      <c r="E178" s="144" t="s">
        <v>34</v>
      </c>
      <c r="F178" s="24" t="s">
        <v>219</v>
      </c>
      <c r="G178" s="12" t="s">
        <v>12</v>
      </c>
      <c r="H178" s="13">
        <v>4276</v>
      </c>
      <c r="I178" s="13">
        <f>3171+28</f>
        <v>3199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20">
        <v>0</v>
      </c>
      <c r="P178" s="13">
        <f t="shared" si="74"/>
        <v>7475</v>
      </c>
    </row>
    <row r="179" spans="1:16" ht="15" customHeight="1" x14ac:dyDescent="0.25">
      <c r="A179" s="150"/>
      <c r="B179" s="134"/>
      <c r="C179" s="135"/>
      <c r="D179" s="136"/>
      <c r="E179" s="144"/>
      <c r="F179" s="21" t="s">
        <v>220</v>
      </c>
      <c r="G179" s="14" t="s">
        <v>13</v>
      </c>
      <c r="H179" s="15">
        <f>157+17</f>
        <v>174</v>
      </c>
      <c r="I179" s="15">
        <f>58+6</f>
        <v>64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23">
        <v>0</v>
      </c>
      <c r="P179" s="15">
        <f t="shared" si="74"/>
        <v>238</v>
      </c>
    </row>
    <row r="180" spans="1:16" ht="15" customHeight="1" x14ac:dyDescent="0.25">
      <c r="A180" s="151"/>
      <c r="B180" s="134"/>
      <c r="C180" s="135"/>
      <c r="D180" s="136"/>
      <c r="E180" s="144"/>
      <c r="F180" s="16"/>
      <c r="G180" s="16" t="s">
        <v>14</v>
      </c>
      <c r="H180" s="17">
        <f t="shared" ref="H180:O180" si="107">SUM(H178:H179)</f>
        <v>4450</v>
      </c>
      <c r="I180" s="17">
        <f t="shared" si="107"/>
        <v>3263</v>
      </c>
      <c r="J180" s="17">
        <f t="shared" si="107"/>
        <v>0</v>
      </c>
      <c r="K180" s="17">
        <f t="shared" si="107"/>
        <v>0</v>
      </c>
      <c r="L180" s="17">
        <f t="shared" si="107"/>
        <v>0</v>
      </c>
      <c r="M180" s="17">
        <f t="shared" si="107"/>
        <v>0</v>
      </c>
      <c r="N180" s="17">
        <f t="shared" si="107"/>
        <v>0</v>
      </c>
      <c r="O180" s="17">
        <f t="shared" si="107"/>
        <v>0</v>
      </c>
      <c r="P180" s="18">
        <f t="shared" si="74"/>
        <v>7713</v>
      </c>
    </row>
    <row r="181" spans="1:16" ht="15" customHeight="1" x14ac:dyDescent="0.25">
      <c r="A181" s="149">
        <f t="shared" ref="A181" si="108">A178+1</f>
        <v>58</v>
      </c>
      <c r="B181" s="134" t="s">
        <v>8</v>
      </c>
      <c r="C181" s="135" t="s">
        <v>221</v>
      </c>
      <c r="D181" s="136">
        <v>43020</v>
      </c>
      <c r="E181" s="144" t="s">
        <v>34</v>
      </c>
      <c r="F181" s="24" t="s">
        <v>222</v>
      </c>
      <c r="G181" s="12" t="s">
        <v>12</v>
      </c>
      <c r="H181" s="13">
        <v>19988</v>
      </c>
      <c r="I181" s="13">
        <f>14302+682</f>
        <v>14984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0">
        <v>0</v>
      </c>
      <c r="P181" s="13">
        <f t="shared" si="74"/>
        <v>34972</v>
      </c>
    </row>
    <row r="182" spans="1:16" ht="15" customHeight="1" x14ac:dyDescent="0.25">
      <c r="A182" s="150"/>
      <c r="B182" s="134"/>
      <c r="C182" s="135"/>
      <c r="D182" s="136"/>
      <c r="E182" s="144"/>
      <c r="F182" s="21" t="s">
        <v>223</v>
      </c>
      <c r="G182" s="14" t="s">
        <v>13</v>
      </c>
      <c r="H182" s="15">
        <f>735+81</f>
        <v>816</v>
      </c>
      <c r="I182" s="15">
        <f>271+30</f>
        <v>301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23">
        <v>0</v>
      </c>
      <c r="P182" s="15">
        <f t="shared" si="74"/>
        <v>1117</v>
      </c>
    </row>
    <row r="183" spans="1:16" ht="15" customHeight="1" x14ac:dyDescent="0.25">
      <c r="A183" s="151"/>
      <c r="B183" s="146"/>
      <c r="C183" s="148"/>
      <c r="D183" s="138"/>
      <c r="E183" s="141"/>
      <c r="F183" s="25"/>
      <c r="G183" s="25" t="s">
        <v>14</v>
      </c>
      <c r="H183" s="17">
        <f t="shared" ref="H183:O183" si="109">SUM(H181:H182)</f>
        <v>20804</v>
      </c>
      <c r="I183" s="17">
        <f t="shared" si="109"/>
        <v>15285</v>
      </c>
      <c r="J183" s="17">
        <f t="shared" si="109"/>
        <v>0</v>
      </c>
      <c r="K183" s="17">
        <f t="shared" si="109"/>
        <v>0</v>
      </c>
      <c r="L183" s="17">
        <f t="shared" si="109"/>
        <v>0</v>
      </c>
      <c r="M183" s="17">
        <f t="shared" si="109"/>
        <v>0</v>
      </c>
      <c r="N183" s="17">
        <f t="shared" si="109"/>
        <v>0</v>
      </c>
      <c r="O183" s="17">
        <f t="shared" si="109"/>
        <v>0</v>
      </c>
      <c r="P183" s="18">
        <f t="shared" si="74"/>
        <v>36089</v>
      </c>
    </row>
    <row r="184" spans="1:16" ht="15" customHeight="1" x14ac:dyDescent="0.25">
      <c r="A184" s="149">
        <f t="shared" ref="A184" si="110">A181+1</f>
        <v>59</v>
      </c>
      <c r="B184" s="134" t="s">
        <v>8</v>
      </c>
      <c r="C184" s="135" t="s">
        <v>224</v>
      </c>
      <c r="D184" s="136">
        <v>43027</v>
      </c>
      <c r="E184" s="144" t="s">
        <v>225</v>
      </c>
      <c r="F184" s="24" t="s">
        <v>226</v>
      </c>
      <c r="G184" s="12" t="s">
        <v>12</v>
      </c>
      <c r="H184" s="13">
        <v>6280</v>
      </c>
      <c r="I184" s="13">
        <v>6280</v>
      </c>
      <c r="J184" s="13">
        <v>6280</v>
      </c>
      <c r="K184" s="13">
        <v>6280</v>
      </c>
      <c r="L184" s="13">
        <v>6280</v>
      </c>
      <c r="M184" s="13">
        <v>6280</v>
      </c>
      <c r="N184" s="13">
        <v>6256</v>
      </c>
      <c r="O184" s="13">
        <v>0</v>
      </c>
      <c r="P184" s="13">
        <f t="shared" si="74"/>
        <v>43936</v>
      </c>
    </row>
    <row r="185" spans="1:16" ht="15" customHeight="1" x14ac:dyDescent="0.25">
      <c r="A185" s="150"/>
      <c r="B185" s="134"/>
      <c r="C185" s="135"/>
      <c r="D185" s="136"/>
      <c r="E185" s="144"/>
      <c r="F185" s="21" t="s">
        <v>227</v>
      </c>
      <c r="G185" s="14" t="s">
        <v>13</v>
      </c>
      <c r="H185" s="15">
        <f>986+109</f>
        <v>1095</v>
      </c>
      <c r="I185" s="15">
        <f>836+93</f>
        <v>929</v>
      </c>
      <c r="J185" s="15">
        <f>695+77</f>
        <v>772</v>
      </c>
      <c r="K185" s="31">
        <f>550+61</f>
        <v>611</v>
      </c>
      <c r="L185" s="31">
        <f>407+45</f>
        <v>452</v>
      </c>
      <c r="M185" s="31">
        <f>263+29</f>
        <v>292</v>
      </c>
      <c r="N185" s="31">
        <f>121+13</f>
        <v>134</v>
      </c>
      <c r="O185" s="31">
        <f>2</f>
        <v>2</v>
      </c>
      <c r="P185" s="15">
        <f t="shared" si="74"/>
        <v>4287</v>
      </c>
    </row>
    <row r="186" spans="1:16" ht="15" customHeight="1" x14ac:dyDescent="0.25">
      <c r="A186" s="151"/>
      <c r="B186" s="134"/>
      <c r="C186" s="135"/>
      <c r="D186" s="136"/>
      <c r="E186" s="144"/>
      <c r="F186" s="16"/>
      <c r="G186" s="16" t="s">
        <v>14</v>
      </c>
      <c r="H186" s="17">
        <f t="shared" ref="H186:O186" si="111">SUM(H184:H185)</f>
        <v>7375</v>
      </c>
      <c r="I186" s="17">
        <f t="shared" si="111"/>
        <v>7209</v>
      </c>
      <c r="J186" s="17">
        <f t="shared" si="111"/>
        <v>7052</v>
      </c>
      <c r="K186" s="17">
        <f t="shared" si="111"/>
        <v>6891</v>
      </c>
      <c r="L186" s="17">
        <f t="shared" si="111"/>
        <v>6732</v>
      </c>
      <c r="M186" s="17">
        <f t="shared" si="111"/>
        <v>6572</v>
      </c>
      <c r="N186" s="17">
        <f t="shared" si="111"/>
        <v>6390</v>
      </c>
      <c r="O186" s="17">
        <f t="shared" si="111"/>
        <v>2</v>
      </c>
      <c r="P186" s="18">
        <f t="shared" si="74"/>
        <v>48223</v>
      </c>
    </row>
    <row r="187" spans="1:16" ht="13.5" customHeight="1" x14ac:dyDescent="0.25">
      <c r="A187" s="149">
        <f t="shared" ref="A187" si="112">A184+1</f>
        <v>60</v>
      </c>
      <c r="B187" s="134" t="s">
        <v>8</v>
      </c>
      <c r="C187" s="135" t="s">
        <v>228</v>
      </c>
      <c r="D187" s="136">
        <v>43042</v>
      </c>
      <c r="E187" s="144" t="s">
        <v>225</v>
      </c>
      <c r="F187" s="24" t="s">
        <v>229</v>
      </c>
      <c r="G187" s="12" t="s">
        <v>12</v>
      </c>
      <c r="H187" s="13">
        <v>20260</v>
      </c>
      <c r="I187" s="13">
        <v>20260</v>
      </c>
      <c r="J187" s="13">
        <v>20260</v>
      </c>
      <c r="K187" s="13">
        <v>20260</v>
      </c>
      <c r="L187" s="13">
        <v>20260</v>
      </c>
      <c r="M187" s="13">
        <v>20260</v>
      </c>
      <c r="N187" s="13">
        <v>20229</v>
      </c>
      <c r="O187" s="13">
        <v>0</v>
      </c>
      <c r="P187" s="13">
        <f t="shared" si="74"/>
        <v>141789</v>
      </c>
    </row>
    <row r="188" spans="1:16" ht="13.5" customHeight="1" x14ac:dyDescent="0.25">
      <c r="A188" s="150"/>
      <c r="B188" s="134"/>
      <c r="C188" s="135"/>
      <c r="D188" s="136"/>
      <c r="E188" s="144"/>
      <c r="F188" s="21" t="s">
        <v>230</v>
      </c>
      <c r="G188" s="14" t="s">
        <v>13</v>
      </c>
      <c r="H188" s="15">
        <f>3196+352</f>
        <v>3548</v>
      </c>
      <c r="I188" s="15">
        <f>2697+300</f>
        <v>2997</v>
      </c>
      <c r="J188" s="15">
        <f>2244+249</f>
        <v>2493</v>
      </c>
      <c r="K188" s="31">
        <f>1775+197</f>
        <v>1972</v>
      </c>
      <c r="L188" s="31">
        <f>1313+146</f>
        <v>1459</v>
      </c>
      <c r="M188" s="31">
        <f>852+95</f>
        <v>947</v>
      </c>
      <c r="N188" s="31">
        <f>392+43</f>
        <v>435</v>
      </c>
      <c r="O188" s="31">
        <f>6+1</f>
        <v>7</v>
      </c>
      <c r="P188" s="15">
        <f t="shared" si="74"/>
        <v>13858</v>
      </c>
    </row>
    <row r="189" spans="1:16" ht="13.5" customHeight="1" x14ac:dyDescent="0.25">
      <c r="A189" s="151"/>
      <c r="B189" s="134"/>
      <c r="C189" s="135"/>
      <c r="D189" s="136"/>
      <c r="E189" s="144"/>
      <c r="F189" s="16"/>
      <c r="G189" s="16" t="s">
        <v>14</v>
      </c>
      <c r="H189" s="17">
        <f t="shared" ref="H189:O189" si="113">SUM(H187:H188)</f>
        <v>23808</v>
      </c>
      <c r="I189" s="17">
        <f t="shared" si="113"/>
        <v>23257</v>
      </c>
      <c r="J189" s="17">
        <f t="shared" si="113"/>
        <v>22753</v>
      </c>
      <c r="K189" s="17">
        <f t="shared" si="113"/>
        <v>22232</v>
      </c>
      <c r="L189" s="17">
        <f t="shared" si="113"/>
        <v>21719</v>
      </c>
      <c r="M189" s="17">
        <f t="shared" si="113"/>
        <v>21207</v>
      </c>
      <c r="N189" s="17">
        <f t="shared" si="113"/>
        <v>20664</v>
      </c>
      <c r="O189" s="17">
        <f t="shared" si="113"/>
        <v>7</v>
      </c>
      <c r="P189" s="18">
        <f t="shared" si="74"/>
        <v>155647</v>
      </c>
    </row>
    <row r="190" spans="1:16" ht="13.5" customHeight="1" x14ac:dyDescent="0.25">
      <c r="A190" s="149">
        <f t="shared" ref="A190" si="114">A187+1</f>
        <v>61</v>
      </c>
      <c r="B190" s="134" t="s">
        <v>8</v>
      </c>
      <c r="C190" s="135" t="s">
        <v>231</v>
      </c>
      <c r="D190" s="136">
        <v>43089</v>
      </c>
      <c r="E190" s="144" t="s">
        <v>232</v>
      </c>
      <c r="F190" s="24" t="s">
        <v>233</v>
      </c>
      <c r="G190" s="12" t="s">
        <v>12</v>
      </c>
      <c r="H190" s="13">
        <v>33888</v>
      </c>
      <c r="I190" s="13">
        <v>33888</v>
      </c>
      <c r="J190" s="13">
        <v>33888</v>
      </c>
      <c r="K190" s="13">
        <v>33888</v>
      </c>
      <c r="L190" s="13">
        <v>33888</v>
      </c>
      <c r="M190" s="13">
        <v>33888</v>
      </c>
      <c r="N190" s="13">
        <v>33888</v>
      </c>
      <c r="O190" s="13">
        <f>434148-33396+5893-33888-33888</f>
        <v>338869</v>
      </c>
      <c r="P190" s="13">
        <f t="shared" si="74"/>
        <v>576085</v>
      </c>
    </row>
    <row r="191" spans="1:16" ht="13.5" customHeight="1" x14ac:dyDescent="0.25">
      <c r="A191" s="150"/>
      <c r="B191" s="134"/>
      <c r="C191" s="135"/>
      <c r="D191" s="136"/>
      <c r="E191" s="144"/>
      <c r="F191" s="21" t="s">
        <v>234</v>
      </c>
      <c r="G191" s="14" t="s">
        <v>13</v>
      </c>
      <c r="H191" s="15">
        <f>13795+1447</f>
        <v>15242</v>
      </c>
      <c r="I191" s="15">
        <f>12328+1361</f>
        <v>13689</v>
      </c>
      <c r="J191" s="15">
        <f>11506+1278</f>
        <v>12784</v>
      </c>
      <c r="K191" s="31">
        <f>10701+1189</f>
        <v>11890</v>
      </c>
      <c r="L191" s="31">
        <f>9928+1103</f>
        <v>11031</v>
      </c>
      <c r="M191" s="31">
        <f>9156+1017</f>
        <v>10173</v>
      </c>
      <c r="N191" s="31">
        <f>8408+934</f>
        <v>9342</v>
      </c>
      <c r="O191" s="31">
        <f>41376+4597</f>
        <v>45973</v>
      </c>
      <c r="P191" s="15">
        <f t="shared" si="74"/>
        <v>130124</v>
      </c>
    </row>
    <row r="192" spans="1:16" ht="13.5" customHeight="1" x14ac:dyDescent="0.25">
      <c r="A192" s="151"/>
      <c r="B192" s="134"/>
      <c r="C192" s="135"/>
      <c r="D192" s="136"/>
      <c r="E192" s="144"/>
      <c r="F192" s="16"/>
      <c r="G192" s="16" t="s">
        <v>14</v>
      </c>
      <c r="H192" s="17">
        <f t="shared" ref="H192:O192" si="115">SUM(H190:H191)</f>
        <v>49130</v>
      </c>
      <c r="I192" s="17">
        <f t="shared" si="115"/>
        <v>47577</v>
      </c>
      <c r="J192" s="17">
        <f t="shared" si="115"/>
        <v>46672</v>
      </c>
      <c r="K192" s="17">
        <f t="shared" si="115"/>
        <v>45778</v>
      </c>
      <c r="L192" s="17">
        <f t="shared" si="115"/>
        <v>44919</v>
      </c>
      <c r="M192" s="17">
        <f t="shared" si="115"/>
        <v>44061</v>
      </c>
      <c r="N192" s="17">
        <f t="shared" si="115"/>
        <v>43230</v>
      </c>
      <c r="O192" s="17">
        <f t="shared" si="115"/>
        <v>384842</v>
      </c>
      <c r="P192" s="18">
        <f t="shared" si="74"/>
        <v>706209</v>
      </c>
    </row>
    <row r="193" spans="1:17" ht="13.5" customHeight="1" x14ac:dyDescent="0.25">
      <c r="A193" s="149">
        <f t="shared" ref="A193" si="116">A190+1</f>
        <v>62</v>
      </c>
      <c r="B193" s="134" t="s">
        <v>8</v>
      </c>
      <c r="C193" s="145" t="s">
        <v>235</v>
      </c>
      <c r="D193" s="136">
        <v>43167</v>
      </c>
      <c r="E193" s="144" t="s">
        <v>236</v>
      </c>
      <c r="F193" s="24" t="s">
        <v>237</v>
      </c>
      <c r="G193" s="12" t="s">
        <v>12</v>
      </c>
      <c r="H193" s="13">
        <v>36892</v>
      </c>
      <c r="I193" s="13">
        <v>36892</v>
      </c>
      <c r="J193" s="13">
        <v>36892</v>
      </c>
      <c r="K193" s="13">
        <v>36892</v>
      </c>
      <c r="L193" s="13">
        <v>36892</v>
      </c>
      <c r="M193" s="13">
        <v>36892</v>
      </c>
      <c r="N193" s="13">
        <v>36892</v>
      </c>
      <c r="O193" s="13">
        <f>480922-36296+7261-36892-36892</f>
        <v>378103</v>
      </c>
      <c r="P193" s="13">
        <f t="shared" si="74"/>
        <v>636347</v>
      </c>
    </row>
    <row r="194" spans="1:17" ht="13.5" customHeight="1" x14ac:dyDescent="0.25">
      <c r="A194" s="150"/>
      <c r="B194" s="134"/>
      <c r="C194" s="135"/>
      <c r="D194" s="136"/>
      <c r="E194" s="144"/>
      <c r="F194" s="21" t="s">
        <v>238</v>
      </c>
      <c r="G194" s="14" t="s">
        <v>13</v>
      </c>
      <c r="H194" s="22">
        <f>15197+1599</f>
        <v>16796</v>
      </c>
      <c r="I194" s="22">
        <f>13545+1505</f>
        <v>15050</v>
      </c>
      <c r="J194" s="15">
        <f>12737+1415</f>
        <v>14152</v>
      </c>
      <c r="K194" s="31">
        <f>11860+1318</f>
        <v>13178</v>
      </c>
      <c r="L194" s="31">
        <f>11018+1224</f>
        <v>12242</v>
      </c>
      <c r="M194" s="31">
        <f>10178+1131</f>
        <v>11309</v>
      </c>
      <c r="N194" s="31">
        <f>9364+1040</f>
        <v>10404</v>
      </c>
      <c r="O194" s="31">
        <f>47224+5247</f>
        <v>52471</v>
      </c>
      <c r="P194" s="15">
        <f t="shared" si="74"/>
        <v>145602</v>
      </c>
    </row>
    <row r="195" spans="1:17" ht="13.5" customHeight="1" x14ac:dyDescent="0.25">
      <c r="A195" s="151"/>
      <c r="B195" s="134"/>
      <c r="C195" s="135"/>
      <c r="D195" s="136"/>
      <c r="E195" s="144"/>
      <c r="F195" s="16"/>
      <c r="G195" s="16" t="s">
        <v>14</v>
      </c>
      <c r="H195" s="17">
        <f t="shared" ref="H195:O195" si="117">SUM(H193:H194)</f>
        <v>53688</v>
      </c>
      <c r="I195" s="17">
        <f t="shared" si="117"/>
        <v>51942</v>
      </c>
      <c r="J195" s="17">
        <f t="shared" si="117"/>
        <v>51044</v>
      </c>
      <c r="K195" s="17">
        <f>SUM(K193:K194)</f>
        <v>50070</v>
      </c>
      <c r="L195" s="17">
        <f>SUM(L193:L194)</f>
        <v>49134</v>
      </c>
      <c r="M195" s="17">
        <f>SUM(M193:M194)</f>
        <v>48201</v>
      </c>
      <c r="N195" s="17">
        <f t="shared" ref="N195" si="118">SUM(N193:N194)</f>
        <v>47296</v>
      </c>
      <c r="O195" s="17">
        <f t="shared" si="117"/>
        <v>430574</v>
      </c>
      <c r="P195" s="18">
        <f t="shared" si="74"/>
        <v>781949</v>
      </c>
    </row>
    <row r="196" spans="1:17" ht="15.75" customHeight="1" x14ac:dyDescent="0.25">
      <c r="A196" s="149">
        <f t="shared" ref="A196" si="119">A193+1</f>
        <v>63</v>
      </c>
      <c r="B196" s="134" t="s">
        <v>8</v>
      </c>
      <c r="C196" s="145" t="s">
        <v>239</v>
      </c>
      <c r="D196" s="136">
        <v>43255</v>
      </c>
      <c r="E196" s="144" t="s">
        <v>240</v>
      </c>
      <c r="F196" s="24" t="s">
        <v>241</v>
      </c>
      <c r="G196" s="12" t="s">
        <v>12</v>
      </c>
      <c r="H196" s="13">
        <v>67236</v>
      </c>
      <c r="I196" s="13">
        <v>67236</v>
      </c>
      <c r="J196" s="13">
        <v>67236</v>
      </c>
      <c r="K196" s="13">
        <v>67236</v>
      </c>
      <c r="L196" s="13">
        <v>67236</v>
      </c>
      <c r="M196" s="13">
        <v>67236</v>
      </c>
      <c r="N196" s="13">
        <v>67236</v>
      </c>
      <c r="O196" s="13">
        <f>888570-65820+17630-67236-67236</f>
        <v>705908</v>
      </c>
      <c r="P196" s="13">
        <f t="shared" si="74"/>
        <v>1176560</v>
      </c>
    </row>
    <row r="197" spans="1:17" ht="15.75" customHeight="1" x14ac:dyDescent="0.25">
      <c r="A197" s="150"/>
      <c r="B197" s="134"/>
      <c r="C197" s="135"/>
      <c r="D197" s="136"/>
      <c r="E197" s="144"/>
      <c r="F197" s="21" t="s">
        <v>242</v>
      </c>
      <c r="G197" s="14" t="s">
        <v>13</v>
      </c>
      <c r="H197" s="15">
        <f>26189+2956</f>
        <v>29145</v>
      </c>
      <c r="I197" s="15">
        <f>25070+2786</f>
        <v>27856</v>
      </c>
      <c r="J197" s="15">
        <f>23597+2622</f>
        <v>26219</v>
      </c>
      <c r="K197" s="31">
        <f>21998+2444</f>
        <v>24442</v>
      </c>
      <c r="L197" s="31">
        <f>20464+2274</f>
        <v>22738</v>
      </c>
      <c r="M197" s="31">
        <f>18933+2104</f>
        <v>21037</v>
      </c>
      <c r="N197" s="31">
        <f>17450+1939</f>
        <v>19389</v>
      </c>
      <c r="O197" s="31">
        <f>90176+10020</f>
        <v>100196</v>
      </c>
      <c r="P197" s="15">
        <f t="shared" si="74"/>
        <v>271022</v>
      </c>
    </row>
    <row r="198" spans="1:17" ht="15.75" customHeight="1" x14ac:dyDescent="0.25">
      <c r="A198" s="151"/>
      <c r="B198" s="134"/>
      <c r="C198" s="135"/>
      <c r="D198" s="136"/>
      <c r="E198" s="144"/>
      <c r="F198" s="16"/>
      <c r="G198" s="16" t="s">
        <v>14</v>
      </c>
      <c r="H198" s="17">
        <f t="shared" ref="H198:O198" si="120">SUM(H196:H197)</f>
        <v>96381</v>
      </c>
      <c r="I198" s="17">
        <f t="shared" si="120"/>
        <v>95092</v>
      </c>
      <c r="J198" s="17">
        <f t="shared" si="120"/>
        <v>93455</v>
      </c>
      <c r="K198" s="17">
        <f t="shared" si="120"/>
        <v>91678</v>
      </c>
      <c r="L198" s="17">
        <f>SUM(L196:L197)</f>
        <v>89974</v>
      </c>
      <c r="M198" s="17">
        <f>SUM(M196:M197)</f>
        <v>88273</v>
      </c>
      <c r="N198" s="17">
        <f t="shared" ref="N198" si="121">SUM(N196:N197)</f>
        <v>86625</v>
      </c>
      <c r="O198" s="17">
        <f t="shared" si="120"/>
        <v>806104</v>
      </c>
      <c r="P198" s="18">
        <f t="shared" si="74"/>
        <v>1447582</v>
      </c>
    </row>
    <row r="199" spans="1:17" ht="15" customHeight="1" x14ac:dyDescent="0.25">
      <c r="A199" s="149">
        <f t="shared" ref="A199" si="122">A196+1</f>
        <v>64</v>
      </c>
      <c r="B199" s="134" t="s">
        <v>8</v>
      </c>
      <c r="C199" s="135" t="s">
        <v>200</v>
      </c>
      <c r="D199" s="136">
        <v>43285</v>
      </c>
      <c r="E199" s="144" t="s">
        <v>243</v>
      </c>
      <c r="F199" s="24" t="s">
        <v>244</v>
      </c>
      <c r="G199" s="12" t="s">
        <v>12</v>
      </c>
      <c r="H199" s="13">
        <v>10768</v>
      </c>
      <c r="I199" s="13">
        <v>10768</v>
      </c>
      <c r="J199" s="13">
        <v>10768</v>
      </c>
      <c r="K199" s="13">
        <v>10768</v>
      </c>
      <c r="L199" s="13">
        <v>10768</v>
      </c>
      <c r="M199" s="13">
        <v>10768</v>
      </c>
      <c r="N199" s="13">
        <v>10768</v>
      </c>
      <c r="O199" s="13">
        <f>142452-10552+2690-10768-10768</f>
        <v>113054</v>
      </c>
      <c r="P199" s="13">
        <f t="shared" si="74"/>
        <v>188430</v>
      </c>
    </row>
    <row r="200" spans="1:17" ht="14.25" customHeight="1" x14ac:dyDescent="0.25">
      <c r="A200" s="150"/>
      <c r="B200" s="134"/>
      <c r="C200" s="135"/>
      <c r="D200" s="136"/>
      <c r="E200" s="144"/>
      <c r="F200" s="21" t="s">
        <v>245</v>
      </c>
      <c r="G200" s="14" t="s">
        <v>13</v>
      </c>
      <c r="H200" s="15">
        <f>4211+473</f>
        <v>4684</v>
      </c>
      <c r="I200" s="15">
        <f>4015+446</f>
        <v>4461</v>
      </c>
      <c r="J200" s="15">
        <f>3779+420</f>
        <v>4199</v>
      </c>
      <c r="K200" s="31">
        <f>3523+391</f>
        <v>3914</v>
      </c>
      <c r="L200" s="31">
        <f>3277+364</f>
        <v>3641</v>
      </c>
      <c r="M200" s="31">
        <f>3032+337</f>
        <v>3369</v>
      </c>
      <c r="N200" s="31">
        <f>2795+210</f>
        <v>3005</v>
      </c>
      <c r="O200" s="31">
        <f>14448+1605</f>
        <v>16053</v>
      </c>
      <c r="P200" s="15">
        <f t="shared" si="74"/>
        <v>43326</v>
      </c>
    </row>
    <row r="201" spans="1:17" ht="13.5" customHeight="1" x14ac:dyDescent="0.25">
      <c r="A201" s="151"/>
      <c r="B201" s="146"/>
      <c r="C201" s="148"/>
      <c r="D201" s="138"/>
      <c r="E201" s="141"/>
      <c r="F201" s="25"/>
      <c r="G201" s="25" t="s">
        <v>14</v>
      </c>
      <c r="H201" s="17">
        <f t="shared" ref="H201:O201" si="123">SUM(H199:H200)</f>
        <v>15452</v>
      </c>
      <c r="I201" s="17">
        <f t="shared" si="123"/>
        <v>15229</v>
      </c>
      <c r="J201" s="17">
        <f t="shared" si="123"/>
        <v>14967</v>
      </c>
      <c r="K201" s="17">
        <f t="shared" si="123"/>
        <v>14682</v>
      </c>
      <c r="L201" s="17">
        <f>SUM(L199:L200)</f>
        <v>14409</v>
      </c>
      <c r="M201" s="17">
        <f>SUM(M199:M200)</f>
        <v>14137</v>
      </c>
      <c r="N201" s="17">
        <f t="shared" ref="N201" si="124">SUM(N199:N200)</f>
        <v>13773</v>
      </c>
      <c r="O201" s="17">
        <f t="shared" si="123"/>
        <v>129107</v>
      </c>
      <c r="P201" s="18">
        <f t="shared" si="74"/>
        <v>231756</v>
      </c>
    </row>
    <row r="202" spans="1:17" ht="15" customHeight="1" x14ac:dyDescent="0.25">
      <c r="A202" s="149">
        <f t="shared" ref="A202" si="125">A199+1</f>
        <v>65</v>
      </c>
      <c r="B202" s="134" t="s">
        <v>8</v>
      </c>
      <c r="C202" s="159" t="s">
        <v>246</v>
      </c>
      <c r="D202" s="136">
        <v>43285</v>
      </c>
      <c r="E202" s="144" t="s">
        <v>247</v>
      </c>
      <c r="F202" s="24" t="s">
        <v>248</v>
      </c>
      <c r="G202" s="12" t="s">
        <v>12</v>
      </c>
      <c r="H202" s="13">
        <v>22268</v>
      </c>
      <c r="I202" s="13">
        <v>22268</v>
      </c>
      <c r="J202" s="13">
        <v>22268</v>
      </c>
      <c r="K202" s="13">
        <v>22268</v>
      </c>
      <c r="L202" s="13">
        <v>22268</v>
      </c>
      <c r="M202" s="13">
        <v>22268</v>
      </c>
      <c r="N202" s="13">
        <v>22268</v>
      </c>
      <c r="O202" s="13">
        <f>185470-21820+3310-22268-22268</f>
        <v>122424</v>
      </c>
      <c r="P202" s="13">
        <f t="shared" ref="P202:P265" si="126">SUM(H202:O202)</f>
        <v>278300</v>
      </c>
    </row>
    <row r="203" spans="1:17" ht="15" customHeight="1" x14ac:dyDescent="0.25">
      <c r="A203" s="150"/>
      <c r="B203" s="134"/>
      <c r="C203" s="159"/>
      <c r="D203" s="136"/>
      <c r="E203" s="144"/>
      <c r="F203" s="21" t="s">
        <v>249</v>
      </c>
      <c r="G203" s="14" t="s">
        <v>13</v>
      </c>
      <c r="H203" s="15">
        <f>6198+697</f>
        <v>6895</v>
      </c>
      <c r="I203" s="15">
        <f>5762+640</f>
        <v>6402</v>
      </c>
      <c r="J203" s="15">
        <f>5268+585</f>
        <v>5853</v>
      </c>
      <c r="K203" s="31">
        <f>4745+527</f>
        <v>5272</v>
      </c>
      <c r="L203" s="31">
        <f>4237+471</f>
        <v>4708</v>
      </c>
      <c r="M203" s="31">
        <f>3730+414</f>
        <v>4144</v>
      </c>
      <c r="N203" s="31">
        <f>3232+359</f>
        <v>3591</v>
      </c>
      <c r="O203" s="31">
        <f>8671+963</f>
        <v>9634</v>
      </c>
      <c r="P203" s="15">
        <f t="shared" si="126"/>
        <v>46499</v>
      </c>
    </row>
    <row r="204" spans="1:17" ht="15" customHeight="1" x14ac:dyDescent="0.25">
      <c r="A204" s="151"/>
      <c r="B204" s="134"/>
      <c r="C204" s="159"/>
      <c r="D204" s="136"/>
      <c r="E204" s="144"/>
      <c r="F204" s="16"/>
      <c r="G204" s="16" t="s">
        <v>14</v>
      </c>
      <c r="H204" s="17">
        <f t="shared" ref="H204:O204" si="127">SUM(H202:H203)</f>
        <v>29163</v>
      </c>
      <c r="I204" s="17">
        <f t="shared" si="127"/>
        <v>28670</v>
      </c>
      <c r="J204" s="17">
        <f t="shared" si="127"/>
        <v>28121</v>
      </c>
      <c r="K204" s="17">
        <f t="shared" si="127"/>
        <v>27540</v>
      </c>
      <c r="L204" s="17">
        <f>SUM(L202:L203)</f>
        <v>26976</v>
      </c>
      <c r="M204" s="17">
        <f>SUM(M202:M203)</f>
        <v>26412</v>
      </c>
      <c r="N204" s="17">
        <f>SUM(N202:N203)</f>
        <v>25859</v>
      </c>
      <c r="O204" s="17">
        <f t="shared" si="127"/>
        <v>132058</v>
      </c>
      <c r="P204" s="18">
        <f t="shared" si="126"/>
        <v>324799</v>
      </c>
    </row>
    <row r="205" spans="1:17" ht="15" customHeight="1" x14ac:dyDescent="0.25">
      <c r="A205" s="149">
        <f t="shared" ref="A205" si="128">A202+1</f>
        <v>66</v>
      </c>
      <c r="B205" s="134" t="s">
        <v>8</v>
      </c>
      <c r="C205" s="159" t="s">
        <v>250</v>
      </c>
      <c r="D205" s="136">
        <v>43299</v>
      </c>
      <c r="E205" s="144" t="s">
        <v>251</v>
      </c>
      <c r="F205" s="24" t="s">
        <v>252</v>
      </c>
      <c r="G205" s="12" t="s">
        <v>12</v>
      </c>
      <c r="H205" s="13">
        <v>5428</v>
      </c>
      <c r="I205" s="13">
        <v>5428</v>
      </c>
      <c r="J205" s="13">
        <v>5428</v>
      </c>
      <c r="K205" s="13">
        <v>5428</v>
      </c>
      <c r="L205" s="13">
        <v>5428</v>
      </c>
      <c r="M205" s="13">
        <v>5428</v>
      </c>
      <c r="N205" s="13">
        <v>5428</v>
      </c>
      <c r="O205" s="13">
        <v>4061</v>
      </c>
      <c r="P205" s="13">
        <f t="shared" si="126"/>
        <v>42057</v>
      </c>
    </row>
    <row r="206" spans="1:17" ht="15" customHeight="1" x14ac:dyDescent="0.25">
      <c r="A206" s="150"/>
      <c r="B206" s="134"/>
      <c r="C206" s="159"/>
      <c r="D206" s="136"/>
      <c r="E206" s="144"/>
      <c r="F206" s="21" t="s">
        <v>253</v>
      </c>
      <c r="G206" s="14" t="s">
        <v>13</v>
      </c>
      <c r="H206" s="15">
        <f>928+104</f>
        <v>1032</v>
      </c>
      <c r="I206" s="15">
        <f>816+91</f>
        <v>907</v>
      </c>
      <c r="J206" s="15">
        <f>694+77</f>
        <v>771</v>
      </c>
      <c r="K206" s="31">
        <f>568+63</f>
        <v>631</v>
      </c>
      <c r="L206" s="31">
        <f>445+49</f>
        <v>494</v>
      </c>
      <c r="M206" s="31">
        <f>321+36</f>
        <v>357</v>
      </c>
      <c r="N206" s="31">
        <f>198+22</f>
        <v>220</v>
      </c>
      <c r="O206" s="31">
        <f>68+8</f>
        <v>76</v>
      </c>
      <c r="P206" s="15">
        <f t="shared" si="126"/>
        <v>4488</v>
      </c>
    </row>
    <row r="207" spans="1:17" ht="15" customHeight="1" x14ac:dyDescent="0.25">
      <c r="A207" s="151"/>
      <c r="B207" s="134"/>
      <c r="C207" s="159"/>
      <c r="D207" s="136"/>
      <c r="E207" s="144"/>
      <c r="F207" s="16"/>
      <c r="G207" s="16" t="s">
        <v>14</v>
      </c>
      <c r="H207" s="17">
        <f t="shared" ref="H207:O207" si="129">SUM(H205:H206)</f>
        <v>6460</v>
      </c>
      <c r="I207" s="17">
        <f t="shared" si="129"/>
        <v>6335</v>
      </c>
      <c r="J207" s="17">
        <f t="shared" si="129"/>
        <v>6199</v>
      </c>
      <c r="K207" s="17">
        <f t="shared" si="129"/>
        <v>6059</v>
      </c>
      <c r="L207" s="17">
        <f>SUM(L205:L206)</f>
        <v>5922</v>
      </c>
      <c r="M207" s="17">
        <f>SUM(M205:M206)</f>
        <v>5785</v>
      </c>
      <c r="N207" s="17">
        <f>SUM(N205:N206)</f>
        <v>5648</v>
      </c>
      <c r="O207" s="17">
        <f t="shared" si="129"/>
        <v>4137</v>
      </c>
      <c r="P207" s="18">
        <f t="shared" si="126"/>
        <v>46545</v>
      </c>
    </row>
    <row r="208" spans="1:17" ht="15.75" customHeight="1" x14ac:dyDescent="0.25">
      <c r="A208" s="149">
        <f t="shared" ref="A208" si="130">A205+1</f>
        <v>67</v>
      </c>
      <c r="B208" s="134" t="s">
        <v>8</v>
      </c>
      <c r="C208" s="160" t="s">
        <v>714</v>
      </c>
      <c r="D208" s="136">
        <v>43315</v>
      </c>
      <c r="E208" s="144" t="s">
        <v>141</v>
      </c>
      <c r="F208" s="24" t="s">
        <v>254</v>
      </c>
      <c r="G208" s="12" t="s">
        <v>12</v>
      </c>
      <c r="H208" s="13">
        <v>111148</v>
      </c>
      <c r="I208" s="13">
        <v>111148</v>
      </c>
      <c r="J208" s="13">
        <v>111148</v>
      </c>
      <c r="K208" s="13">
        <v>111148</v>
      </c>
      <c r="L208" s="13">
        <v>111148</v>
      </c>
      <c r="M208" s="13">
        <v>111148</v>
      </c>
      <c r="N208" s="13">
        <v>111148</v>
      </c>
      <c r="O208" s="34">
        <f>1972806-666888-111148</f>
        <v>1194770</v>
      </c>
      <c r="P208" s="13">
        <f t="shared" si="126"/>
        <v>1972806</v>
      </c>
      <c r="Q208" s="1"/>
    </row>
    <row r="209" spans="1:17" ht="15.75" customHeight="1" x14ac:dyDescent="0.25">
      <c r="A209" s="150"/>
      <c r="B209" s="134"/>
      <c r="C209" s="160"/>
      <c r="D209" s="136"/>
      <c r="E209" s="144"/>
      <c r="F209" s="21" t="s">
        <v>255</v>
      </c>
      <c r="G209" s="14" t="s">
        <v>13</v>
      </c>
      <c r="H209" s="22">
        <f>43848+4942</f>
        <v>48790</v>
      </c>
      <c r="I209" s="22">
        <f>42078+4675</f>
        <v>46753</v>
      </c>
      <c r="J209" s="15">
        <f>39645+4405</f>
        <v>44050</v>
      </c>
      <c r="K209" s="31">
        <f>37000+4111</f>
        <v>41111</v>
      </c>
      <c r="L209" s="31">
        <f>34465+3829</f>
        <v>38294</v>
      </c>
      <c r="M209" s="31">
        <f>31932+3548</f>
        <v>35480</v>
      </c>
      <c r="N209" s="31">
        <f>29484+3276</f>
        <v>32760</v>
      </c>
      <c r="O209" s="31">
        <f>155987+17332</f>
        <v>173319</v>
      </c>
      <c r="P209" s="15">
        <f t="shared" si="126"/>
        <v>460557</v>
      </c>
      <c r="Q209" s="35"/>
    </row>
    <row r="210" spans="1:17" ht="15.75" customHeight="1" x14ac:dyDescent="0.25">
      <c r="A210" s="151"/>
      <c r="B210" s="134"/>
      <c r="C210" s="160"/>
      <c r="D210" s="136"/>
      <c r="E210" s="144"/>
      <c r="F210" s="16"/>
      <c r="G210" s="16" t="s">
        <v>14</v>
      </c>
      <c r="H210" s="17">
        <f t="shared" ref="H210:O210" si="131">SUM(H208:H209)</f>
        <v>159938</v>
      </c>
      <c r="I210" s="17">
        <f t="shared" si="131"/>
        <v>157901</v>
      </c>
      <c r="J210" s="17">
        <f t="shared" si="131"/>
        <v>155198</v>
      </c>
      <c r="K210" s="17">
        <f t="shared" si="131"/>
        <v>152259</v>
      </c>
      <c r="L210" s="17">
        <f t="shared" si="131"/>
        <v>149442</v>
      </c>
      <c r="M210" s="17">
        <f t="shared" si="131"/>
        <v>146628</v>
      </c>
      <c r="N210" s="17">
        <f t="shared" si="131"/>
        <v>143908</v>
      </c>
      <c r="O210" s="17">
        <f t="shared" si="131"/>
        <v>1368089</v>
      </c>
      <c r="P210" s="18">
        <f t="shared" si="126"/>
        <v>2433363</v>
      </c>
      <c r="Q210" s="36"/>
    </row>
    <row r="211" spans="1:17" ht="16.5" customHeight="1" x14ac:dyDescent="0.25">
      <c r="A211" s="149">
        <f t="shared" ref="A211" si="132">A208+1</f>
        <v>68</v>
      </c>
      <c r="B211" s="134" t="s">
        <v>8</v>
      </c>
      <c r="C211" s="161" t="s">
        <v>256</v>
      </c>
      <c r="D211" s="136">
        <v>43341</v>
      </c>
      <c r="E211" s="144" t="s">
        <v>257</v>
      </c>
      <c r="F211" s="24" t="s">
        <v>258</v>
      </c>
      <c r="G211" s="12" t="s">
        <v>12</v>
      </c>
      <c r="H211" s="13">
        <v>7832</v>
      </c>
      <c r="I211" s="13">
        <v>7832</v>
      </c>
      <c r="J211" s="13">
        <f>5733+137</f>
        <v>5870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f t="shared" si="126"/>
        <v>21534</v>
      </c>
    </row>
    <row r="212" spans="1:17" ht="14.25" customHeight="1" x14ac:dyDescent="0.25">
      <c r="A212" s="150"/>
      <c r="B212" s="134"/>
      <c r="C212" s="161"/>
      <c r="D212" s="136"/>
      <c r="E212" s="144"/>
      <c r="F212" s="21" t="s">
        <v>259</v>
      </c>
      <c r="G212" s="14" t="s">
        <v>13</v>
      </c>
      <c r="H212" s="15">
        <f>456+52</f>
        <v>508</v>
      </c>
      <c r="I212" s="15">
        <f>285+32</f>
        <v>317</v>
      </c>
      <c r="J212" s="15">
        <f>103+11</f>
        <v>114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f t="shared" si="126"/>
        <v>939</v>
      </c>
    </row>
    <row r="213" spans="1:17" ht="24" customHeight="1" x14ac:dyDescent="0.25">
      <c r="A213" s="151"/>
      <c r="B213" s="134"/>
      <c r="C213" s="161"/>
      <c r="D213" s="136"/>
      <c r="E213" s="144"/>
      <c r="F213" s="16"/>
      <c r="G213" s="16" t="s">
        <v>14</v>
      </c>
      <c r="H213" s="17">
        <f t="shared" ref="H213:O213" si="133">SUM(H211:H212)</f>
        <v>8340</v>
      </c>
      <c r="I213" s="17">
        <f t="shared" si="133"/>
        <v>8149</v>
      </c>
      <c r="J213" s="17">
        <f t="shared" si="133"/>
        <v>5984</v>
      </c>
      <c r="K213" s="17">
        <f t="shared" si="133"/>
        <v>0</v>
      </c>
      <c r="L213" s="17">
        <f>SUM(L211:L212)</f>
        <v>0</v>
      </c>
      <c r="M213" s="17">
        <f t="shared" ref="M213:N213" si="134">SUM(M211:M212)</f>
        <v>0</v>
      </c>
      <c r="N213" s="17">
        <f t="shared" si="134"/>
        <v>0</v>
      </c>
      <c r="O213" s="17">
        <f t="shared" si="133"/>
        <v>0</v>
      </c>
      <c r="P213" s="18">
        <f t="shared" si="126"/>
        <v>22473</v>
      </c>
    </row>
    <row r="214" spans="1:17" ht="16.5" customHeight="1" x14ac:dyDescent="0.25">
      <c r="A214" s="149">
        <f t="shared" ref="A214" si="135">A211+1</f>
        <v>69</v>
      </c>
      <c r="B214" s="134" t="s">
        <v>8</v>
      </c>
      <c r="C214" s="159" t="s">
        <v>260</v>
      </c>
      <c r="D214" s="136">
        <v>43378</v>
      </c>
      <c r="E214" s="144" t="s">
        <v>261</v>
      </c>
      <c r="F214" s="24" t="s">
        <v>262</v>
      </c>
      <c r="G214" s="12" t="s">
        <v>12</v>
      </c>
      <c r="H214" s="13">
        <v>12840</v>
      </c>
      <c r="I214" s="13">
        <v>12840</v>
      </c>
      <c r="J214" s="13">
        <f>9495+126</f>
        <v>9621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f t="shared" si="126"/>
        <v>35301</v>
      </c>
    </row>
    <row r="215" spans="1:17" ht="14.25" customHeight="1" x14ac:dyDescent="0.25">
      <c r="A215" s="150"/>
      <c r="B215" s="134"/>
      <c r="C215" s="159"/>
      <c r="D215" s="136"/>
      <c r="E215" s="144"/>
      <c r="F215" s="21" t="s">
        <v>263</v>
      </c>
      <c r="G215" s="14" t="s">
        <v>13</v>
      </c>
      <c r="H215" s="15">
        <f>766+84</f>
        <v>850</v>
      </c>
      <c r="I215" s="15">
        <f>467+52</f>
        <v>519</v>
      </c>
      <c r="J215" s="15">
        <f>174+19</f>
        <v>193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f t="shared" si="126"/>
        <v>1562</v>
      </c>
    </row>
    <row r="216" spans="1:17" ht="14.25" customHeight="1" x14ac:dyDescent="0.25">
      <c r="A216" s="151"/>
      <c r="B216" s="146"/>
      <c r="C216" s="162"/>
      <c r="D216" s="138"/>
      <c r="E216" s="141"/>
      <c r="F216" s="25"/>
      <c r="G216" s="25" t="s">
        <v>14</v>
      </c>
      <c r="H216" s="17">
        <f t="shared" ref="H216:O216" si="136">SUM(H214:H215)</f>
        <v>13690</v>
      </c>
      <c r="I216" s="17">
        <f t="shared" si="136"/>
        <v>13359</v>
      </c>
      <c r="J216" s="17">
        <f t="shared" si="136"/>
        <v>9814</v>
      </c>
      <c r="K216" s="17">
        <f t="shared" si="136"/>
        <v>0</v>
      </c>
      <c r="L216" s="17">
        <f>SUM(L214:L215)</f>
        <v>0</v>
      </c>
      <c r="M216" s="17">
        <f t="shared" ref="M216:N216" si="137">SUM(M214:M215)</f>
        <v>0</v>
      </c>
      <c r="N216" s="17">
        <f t="shared" si="137"/>
        <v>0</v>
      </c>
      <c r="O216" s="17">
        <f t="shared" si="136"/>
        <v>0</v>
      </c>
      <c r="P216" s="18">
        <f t="shared" si="126"/>
        <v>36863</v>
      </c>
    </row>
    <row r="217" spans="1:17" ht="14.25" customHeight="1" x14ac:dyDescent="0.25">
      <c r="A217" s="149">
        <f t="shared" ref="A217" si="138">A214+1</f>
        <v>70</v>
      </c>
      <c r="B217" s="134" t="s">
        <v>8</v>
      </c>
      <c r="C217" s="159" t="s">
        <v>264</v>
      </c>
      <c r="D217" s="136">
        <v>43391</v>
      </c>
      <c r="E217" s="144" t="s">
        <v>265</v>
      </c>
      <c r="F217" s="24" t="s">
        <v>266</v>
      </c>
      <c r="G217" s="12" t="s">
        <v>12</v>
      </c>
      <c r="H217" s="13">
        <v>8408</v>
      </c>
      <c r="I217" s="13">
        <v>8408</v>
      </c>
      <c r="J217" s="13">
        <v>8408</v>
      </c>
      <c r="K217" s="13">
        <v>8408</v>
      </c>
      <c r="L217" s="13">
        <v>8408</v>
      </c>
      <c r="M217" s="13">
        <v>8408</v>
      </c>
      <c r="N217" s="13">
        <v>8408</v>
      </c>
      <c r="O217" s="13">
        <f>33168-8292+344-8408-8408</f>
        <v>8404</v>
      </c>
      <c r="P217" s="13">
        <f t="shared" si="126"/>
        <v>67260</v>
      </c>
    </row>
    <row r="218" spans="1:17" ht="14.45" customHeight="1" x14ac:dyDescent="0.25">
      <c r="A218" s="150"/>
      <c r="B218" s="134"/>
      <c r="C218" s="159"/>
      <c r="D218" s="136"/>
      <c r="E218" s="144"/>
      <c r="F218" s="21" t="s">
        <v>267</v>
      </c>
      <c r="G218" s="14" t="s">
        <v>13</v>
      </c>
      <c r="H218" s="15">
        <f>1514+167</f>
        <v>1681</v>
      </c>
      <c r="I218" s="15">
        <f>1312+146</f>
        <v>1458</v>
      </c>
      <c r="J218" s="15">
        <f>1124+125</f>
        <v>1249</v>
      </c>
      <c r="K218" s="31">
        <f>929+103</f>
        <v>1032</v>
      </c>
      <c r="L218" s="31">
        <f>737+82</f>
        <v>819</v>
      </c>
      <c r="M218" s="31">
        <f>545+61</f>
        <v>606</v>
      </c>
      <c r="N218" s="31">
        <f>355+39</f>
        <v>394</v>
      </c>
      <c r="O218" s="31">
        <f>164+18</f>
        <v>182</v>
      </c>
      <c r="P218" s="15">
        <f t="shared" si="126"/>
        <v>7421</v>
      </c>
    </row>
    <row r="219" spans="1:17" ht="15" customHeight="1" x14ac:dyDescent="0.25">
      <c r="A219" s="151"/>
      <c r="B219" s="134"/>
      <c r="C219" s="159"/>
      <c r="D219" s="136"/>
      <c r="E219" s="144"/>
      <c r="F219" s="16"/>
      <c r="G219" s="16" t="s">
        <v>14</v>
      </c>
      <c r="H219" s="17">
        <f t="shared" ref="H219:O219" si="139">SUM(H217:H218)</f>
        <v>10089</v>
      </c>
      <c r="I219" s="17">
        <f t="shared" si="139"/>
        <v>9866</v>
      </c>
      <c r="J219" s="17">
        <f t="shared" si="139"/>
        <v>9657</v>
      </c>
      <c r="K219" s="17">
        <f t="shared" si="139"/>
        <v>9440</v>
      </c>
      <c r="L219" s="17">
        <f t="shared" si="139"/>
        <v>9227</v>
      </c>
      <c r="M219" s="17">
        <f t="shared" si="139"/>
        <v>9014</v>
      </c>
      <c r="N219" s="17">
        <f t="shared" si="139"/>
        <v>8802</v>
      </c>
      <c r="O219" s="17">
        <f t="shared" si="139"/>
        <v>8586</v>
      </c>
      <c r="P219" s="18">
        <f t="shared" si="126"/>
        <v>74681</v>
      </c>
    </row>
    <row r="220" spans="1:17" ht="16.5" customHeight="1" x14ac:dyDescent="0.25">
      <c r="A220" s="149">
        <f t="shared" ref="A220" si="140">A217+1</f>
        <v>71</v>
      </c>
      <c r="B220" s="134" t="s">
        <v>8</v>
      </c>
      <c r="C220" s="135" t="s">
        <v>715</v>
      </c>
      <c r="D220" s="136">
        <v>43416</v>
      </c>
      <c r="E220" s="144" t="s">
        <v>268</v>
      </c>
      <c r="F220" s="24" t="s">
        <v>269</v>
      </c>
      <c r="G220" s="12" t="s">
        <v>12</v>
      </c>
      <c r="H220" s="13">
        <v>9664</v>
      </c>
      <c r="I220" s="13">
        <v>9664</v>
      </c>
      <c r="J220" s="13">
        <v>9664</v>
      </c>
      <c r="K220" s="13">
        <v>0</v>
      </c>
      <c r="L220" s="13">
        <v>0</v>
      </c>
      <c r="M220" s="13">
        <v>0</v>
      </c>
      <c r="N220" s="13">
        <v>0</v>
      </c>
      <c r="O220" s="20">
        <v>0</v>
      </c>
      <c r="P220" s="13">
        <f t="shared" si="126"/>
        <v>28992</v>
      </c>
    </row>
    <row r="221" spans="1:17" ht="15" customHeight="1" x14ac:dyDescent="0.25">
      <c r="A221" s="150"/>
      <c r="B221" s="134"/>
      <c r="C221" s="135"/>
      <c r="D221" s="136"/>
      <c r="E221" s="144"/>
      <c r="F221" s="21" t="s">
        <v>270</v>
      </c>
      <c r="G221" s="14" t="s">
        <v>13</v>
      </c>
      <c r="H221" s="15">
        <f>642+70</f>
        <v>712</v>
      </c>
      <c r="I221" s="15">
        <f>407+45</f>
        <v>452</v>
      </c>
      <c r="J221" s="15">
        <f>186+21</f>
        <v>207</v>
      </c>
      <c r="K221" s="15">
        <v>3</v>
      </c>
      <c r="L221" s="15">
        <v>0</v>
      </c>
      <c r="M221" s="15">
        <v>0</v>
      </c>
      <c r="N221" s="15">
        <v>0</v>
      </c>
      <c r="O221" s="23">
        <v>0</v>
      </c>
      <c r="P221" s="15">
        <f t="shared" si="126"/>
        <v>1374</v>
      </c>
    </row>
    <row r="222" spans="1:17" ht="15.75" customHeight="1" x14ac:dyDescent="0.25">
      <c r="A222" s="151"/>
      <c r="B222" s="134"/>
      <c r="C222" s="135"/>
      <c r="D222" s="136"/>
      <c r="E222" s="144"/>
      <c r="F222" s="16"/>
      <c r="G222" s="16" t="s">
        <v>14</v>
      </c>
      <c r="H222" s="17">
        <f t="shared" ref="H222:O222" si="141">SUM(H220:H221)</f>
        <v>10376</v>
      </c>
      <c r="I222" s="17">
        <f t="shared" si="141"/>
        <v>10116</v>
      </c>
      <c r="J222" s="17">
        <f t="shared" si="141"/>
        <v>9871</v>
      </c>
      <c r="K222" s="17">
        <f t="shared" si="141"/>
        <v>3</v>
      </c>
      <c r="L222" s="17">
        <f t="shared" si="141"/>
        <v>0</v>
      </c>
      <c r="M222" s="17">
        <f t="shared" si="141"/>
        <v>0</v>
      </c>
      <c r="N222" s="17">
        <f t="shared" si="141"/>
        <v>0</v>
      </c>
      <c r="O222" s="17">
        <f t="shared" si="141"/>
        <v>0</v>
      </c>
      <c r="P222" s="18">
        <f t="shared" si="126"/>
        <v>30366</v>
      </c>
    </row>
    <row r="223" spans="1:17" ht="16.5" customHeight="1" x14ac:dyDescent="0.25">
      <c r="A223" s="149">
        <f t="shared" ref="A223" si="142">A220+1</f>
        <v>72</v>
      </c>
      <c r="B223" s="134" t="s">
        <v>8</v>
      </c>
      <c r="C223" s="135" t="s">
        <v>746</v>
      </c>
      <c r="D223" s="136">
        <v>43431</v>
      </c>
      <c r="E223" s="144" t="s">
        <v>52</v>
      </c>
      <c r="F223" s="24" t="s">
        <v>271</v>
      </c>
      <c r="G223" s="12" t="s">
        <v>12</v>
      </c>
      <c r="H223" s="13">
        <v>16520</v>
      </c>
      <c r="I223" s="13">
        <v>16520</v>
      </c>
      <c r="J223" s="13">
        <v>16509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f t="shared" si="126"/>
        <v>49549</v>
      </c>
    </row>
    <row r="224" spans="1:17" ht="16.5" customHeight="1" x14ac:dyDescent="0.25">
      <c r="A224" s="150"/>
      <c r="B224" s="134"/>
      <c r="C224" s="135"/>
      <c r="D224" s="136"/>
      <c r="E224" s="144"/>
      <c r="F224" s="21" t="s">
        <v>272</v>
      </c>
      <c r="G224" s="14" t="s">
        <v>13</v>
      </c>
      <c r="H224" s="15">
        <f>1096+119</f>
        <v>1215</v>
      </c>
      <c r="I224" s="15">
        <f>693+77</f>
        <v>770</v>
      </c>
      <c r="J224" s="15">
        <f>319+35</f>
        <v>354</v>
      </c>
      <c r="K224" s="15">
        <f>13+1</f>
        <v>14</v>
      </c>
      <c r="L224" s="15">
        <v>0</v>
      </c>
      <c r="M224" s="15">
        <v>0</v>
      </c>
      <c r="N224" s="15">
        <v>0</v>
      </c>
      <c r="O224" s="15">
        <v>0</v>
      </c>
      <c r="P224" s="15">
        <f t="shared" si="126"/>
        <v>2353</v>
      </c>
    </row>
    <row r="225" spans="1:17" ht="16.5" customHeight="1" x14ac:dyDescent="0.25">
      <c r="A225" s="151"/>
      <c r="B225" s="134"/>
      <c r="C225" s="135"/>
      <c r="D225" s="136"/>
      <c r="E225" s="144"/>
      <c r="F225" s="16"/>
      <c r="G225" s="16" t="s">
        <v>14</v>
      </c>
      <c r="H225" s="17">
        <f t="shared" ref="H225:O225" si="143">SUM(H223:H224)</f>
        <v>17735</v>
      </c>
      <c r="I225" s="17">
        <f t="shared" si="143"/>
        <v>17290</v>
      </c>
      <c r="J225" s="17">
        <f t="shared" si="143"/>
        <v>16863</v>
      </c>
      <c r="K225" s="17">
        <f t="shared" si="143"/>
        <v>14</v>
      </c>
      <c r="L225" s="17">
        <f t="shared" si="143"/>
        <v>0</v>
      </c>
      <c r="M225" s="17">
        <f t="shared" si="143"/>
        <v>0</v>
      </c>
      <c r="N225" s="17">
        <f t="shared" si="143"/>
        <v>0</v>
      </c>
      <c r="O225" s="17">
        <f t="shared" si="143"/>
        <v>0</v>
      </c>
      <c r="P225" s="18">
        <f t="shared" si="126"/>
        <v>51902</v>
      </c>
    </row>
    <row r="226" spans="1:17" ht="16.5" customHeight="1" x14ac:dyDescent="0.25">
      <c r="A226" s="149">
        <f t="shared" ref="A226" si="144">A223+1</f>
        <v>73</v>
      </c>
      <c r="B226" s="134" t="s">
        <v>8</v>
      </c>
      <c r="C226" s="135" t="s">
        <v>716</v>
      </c>
      <c r="D226" s="136">
        <v>43431</v>
      </c>
      <c r="E226" s="144" t="s">
        <v>273</v>
      </c>
      <c r="F226" s="24" t="s">
        <v>274</v>
      </c>
      <c r="G226" s="12" t="s">
        <v>12</v>
      </c>
      <c r="H226" s="13">
        <v>31240</v>
      </c>
      <c r="I226" s="13">
        <v>31240</v>
      </c>
      <c r="J226" s="13">
        <v>31240</v>
      </c>
      <c r="K226" s="13">
        <f>12084+3530</f>
        <v>15614</v>
      </c>
      <c r="L226" s="13">
        <v>0</v>
      </c>
      <c r="M226" s="13">
        <v>0</v>
      </c>
      <c r="N226" s="13">
        <v>0</v>
      </c>
      <c r="O226" s="13">
        <v>0</v>
      </c>
      <c r="P226" s="13">
        <f t="shared" si="126"/>
        <v>109334</v>
      </c>
    </row>
    <row r="227" spans="1:17" ht="15.75" customHeight="1" x14ac:dyDescent="0.25">
      <c r="A227" s="150"/>
      <c r="B227" s="134"/>
      <c r="C227" s="135"/>
      <c r="D227" s="136"/>
      <c r="E227" s="144"/>
      <c r="F227" s="21" t="s">
        <v>275</v>
      </c>
      <c r="G227" s="14" t="s">
        <v>13</v>
      </c>
      <c r="H227" s="15">
        <f>2436+265</f>
        <v>2701</v>
      </c>
      <c r="I227" s="15">
        <f>1668+186</f>
        <v>1854</v>
      </c>
      <c r="J227" s="15">
        <f>960+107</f>
        <v>1067</v>
      </c>
      <c r="K227" s="31">
        <f>220+24</f>
        <v>244</v>
      </c>
      <c r="L227" s="15">
        <v>0</v>
      </c>
      <c r="M227" s="15">
        <v>0</v>
      </c>
      <c r="N227" s="15">
        <v>0</v>
      </c>
      <c r="O227" s="15">
        <v>0</v>
      </c>
      <c r="P227" s="15">
        <f t="shared" si="126"/>
        <v>5866</v>
      </c>
    </row>
    <row r="228" spans="1:17" ht="16.5" customHeight="1" x14ac:dyDescent="0.25">
      <c r="A228" s="151"/>
      <c r="B228" s="134"/>
      <c r="C228" s="135"/>
      <c r="D228" s="136"/>
      <c r="E228" s="144"/>
      <c r="F228" s="16"/>
      <c r="G228" s="16" t="s">
        <v>14</v>
      </c>
      <c r="H228" s="17">
        <f t="shared" ref="H228:O228" si="145">SUM(H226:H227)</f>
        <v>33941</v>
      </c>
      <c r="I228" s="17">
        <f t="shared" si="145"/>
        <v>33094</v>
      </c>
      <c r="J228" s="17">
        <f t="shared" si="145"/>
        <v>32307</v>
      </c>
      <c r="K228" s="17">
        <f t="shared" si="145"/>
        <v>15858</v>
      </c>
      <c r="L228" s="17">
        <f t="shared" si="145"/>
        <v>0</v>
      </c>
      <c r="M228" s="17">
        <f t="shared" si="145"/>
        <v>0</v>
      </c>
      <c r="N228" s="17">
        <f t="shared" si="145"/>
        <v>0</v>
      </c>
      <c r="O228" s="17">
        <f t="shared" si="145"/>
        <v>0</v>
      </c>
      <c r="P228" s="18">
        <f t="shared" si="126"/>
        <v>115200</v>
      </c>
    </row>
    <row r="229" spans="1:17" ht="15.75" customHeight="1" x14ac:dyDescent="0.25">
      <c r="A229" s="149">
        <f t="shared" ref="A229" si="146">A226+1</f>
        <v>74</v>
      </c>
      <c r="B229" s="134" t="s">
        <v>8</v>
      </c>
      <c r="C229" s="135" t="s">
        <v>276</v>
      </c>
      <c r="D229" s="136">
        <v>43433</v>
      </c>
      <c r="E229" s="144" t="s">
        <v>277</v>
      </c>
      <c r="F229" s="24" t="s">
        <v>278</v>
      </c>
      <c r="G229" s="12" t="s">
        <v>12</v>
      </c>
      <c r="H229" s="20">
        <v>0</v>
      </c>
      <c r="I229" s="20">
        <v>0</v>
      </c>
      <c r="J229" s="20">
        <v>0</v>
      </c>
      <c r="K229" s="20">
        <v>0</v>
      </c>
      <c r="L229" s="13">
        <v>0</v>
      </c>
      <c r="M229" s="13">
        <v>0</v>
      </c>
      <c r="N229" s="13">
        <v>0</v>
      </c>
      <c r="O229" s="20">
        <v>0</v>
      </c>
      <c r="P229" s="13">
        <f t="shared" si="126"/>
        <v>0</v>
      </c>
    </row>
    <row r="230" spans="1:17" ht="15.75" customHeight="1" x14ac:dyDescent="0.25">
      <c r="A230" s="150"/>
      <c r="B230" s="134"/>
      <c r="C230" s="135"/>
      <c r="D230" s="136"/>
      <c r="E230" s="144"/>
      <c r="F230" s="21" t="s">
        <v>279</v>
      </c>
      <c r="G230" s="14" t="s">
        <v>13</v>
      </c>
      <c r="H230" s="23">
        <v>5</v>
      </c>
      <c r="I230" s="23">
        <v>0</v>
      </c>
      <c r="J230" s="23">
        <v>0</v>
      </c>
      <c r="K230" s="23">
        <v>0</v>
      </c>
      <c r="L230" s="15">
        <v>0</v>
      </c>
      <c r="M230" s="15">
        <v>0</v>
      </c>
      <c r="N230" s="15">
        <v>0</v>
      </c>
      <c r="O230" s="23">
        <v>0</v>
      </c>
      <c r="P230" s="15">
        <f t="shared" si="126"/>
        <v>5</v>
      </c>
    </row>
    <row r="231" spans="1:17" ht="15.75" customHeight="1" x14ac:dyDescent="0.25">
      <c r="A231" s="151"/>
      <c r="B231" s="134"/>
      <c r="C231" s="135"/>
      <c r="D231" s="136"/>
      <c r="E231" s="144"/>
      <c r="F231" s="16"/>
      <c r="G231" s="16" t="s">
        <v>14</v>
      </c>
      <c r="H231" s="17">
        <f t="shared" ref="H231:O231" si="147">SUM(H229:H230)</f>
        <v>5</v>
      </c>
      <c r="I231" s="17">
        <f t="shared" si="147"/>
        <v>0</v>
      </c>
      <c r="J231" s="17">
        <f t="shared" si="147"/>
        <v>0</v>
      </c>
      <c r="K231" s="17">
        <f t="shared" si="147"/>
        <v>0</v>
      </c>
      <c r="L231" s="17">
        <f t="shared" si="147"/>
        <v>0</v>
      </c>
      <c r="M231" s="17">
        <f t="shared" si="147"/>
        <v>0</v>
      </c>
      <c r="N231" s="17">
        <f t="shared" si="147"/>
        <v>0</v>
      </c>
      <c r="O231" s="17">
        <f t="shared" si="147"/>
        <v>0</v>
      </c>
      <c r="P231" s="18">
        <f t="shared" si="126"/>
        <v>5</v>
      </c>
    </row>
    <row r="232" spans="1:17" ht="15.75" customHeight="1" x14ac:dyDescent="0.25">
      <c r="A232" s="149">
        <f t="shared" ref="A232" si="148">A229+1</f>
        <v>75</v>
      </c>
      <c r="B232" s="134" t="s">
        <v>8</v>
      </c>
      <c r="C232" s="163" t="s">
        <v>280</v>
      </c>
      <c r="D232" s="136">
        <v>43529</v>
      </c>
      <c r="E232" s="144" t="s">
        <v>281</v>
      </c>
      <c r="F232" s="24" t="s">
        <v>282</v>
      </c>
      <c r="G232" s="12" t="s">
        <v>12</v>
      </c>
      <c r="H232" s="13">
        <v>54120</v>
      </c>
      <c r="I232" s="13">
        <v>54120</v>
      </c>
      <c r="J232" s="13">
        <v>54120</v>
      </c>
      <c r="K232" s="13">
        <v>54120</v>
      </c>
      <c r="L232" s="13">
        <v>54120</v>
      </c>
      <c r="M232" s="13">
        <v>54120</v>
      </c>
      <c r="N232" s="13">
        <v>54120</v>
      </c>
      <c r="O232" s="13">
        <f>771210-54120-54120-54120</f>
        <v>608850</v>
      </c>
      <c r="P232" s="13">
        <f t="shared" si="126"/>
        <v>987690</v>
      </c>
    </row>
    <row r="233" spans="1:17" ht="15.75" customHeight="1" x14ac:dyDescent="0.25">
      <c r="A233" s="150"/>
      <c r="B233" s="134"/>
      <c r="C233" s="163"/>
      <c r="D233" s="136"/>
      <c r="E233" s="144"/>
      <c r="F233" s="21" t="s">
        <v>283</v>
      </c>
      <c r="G233" s="14" t="s">
        <v>284</v>
      </c>
      <c r="H233" s="15">
        <v>2482</v>
      </c>
      <c r="I233" s="15">
        <v>2345</v>
      </c>
      <c r="J233" s="15">
        <v>2214</v>
      </c>
      <c r="K233" s="31">
        <v>2070</v>
      </c>
      <c r="L233" s="31">
        <v>1933</v>
      </c>
      <c r="M233" s="31">
        <v>1796</v>
      </c>
      <c r="N233" s="31">
        <v>1664</v>
      </c>
      <c r="O233" s="31">
        <v>9225</v>
      </c>
      <c r="P233" s="15">
        <f t="shared" si="126"/>
        <v>23729</v>
      </c>
    </row>
    <row r="234" spans="1:17" ht="15.75" customHeight="1" x14ac:dyDescent="0.25">
      <c r="A234" s="151"/>
      <c r="B234" s="134"/>
      <c r="C234" s="163"/>
      <c r="D234" s="136"/>
      <c r="E234" s="144"/>
      <c r="F234" s="16"/>
      <c r="G234" s="16" t="s">
        <v>14</v>
      </c>
      <c r="H234" s="17">
        <f t="shared" ref="H234:O234" si="149">SUM(H232:H233)</f>
        <v>56602</v>
      </c>
      <c r="I234" s="17">
        <f t="shared" si="149"/>
        <v>56465</v>
      </c>
      <c r="J234" s="17">
        <f t="shared" si="149"/>
        <v>56334</v>
      </c>
      <c r="K234" s="17">
        <f t="shared" si="149"/>
        <v>56190</v>
      </c>
      <c r="L234" s="17">
        <f t="shared" si="149"/>
        <v>56053</v>
      </c>
      <c r="M234" s="17">
        <f t="shared" si="149"/>
        <v>55916</v>
      </c>
      <c r="N234" s="17">
        <f t="shared" si="149"/>
        <v>55784</v>
      </c>
      <c r="O234" s="17">
        <f t="shared" si="149"/>
        <v>618075</v>
      </c>
      <c r="P234" s="18">
        <f t="shared" si="126"/>
        <v>1011419</v>
      </c>
    </row>
    <row r="235" spans="1:17" ht="15.75" customHeight="1" x14ac:dyDescent="0.25">
      <c r="A235" s="149">
        <f t="shared" ref="A235" si="150">A232+1</f>
        <v>76</v>
      </c>
      <c r="B235" s="134" t="s">
        <v>8</v>
      </c>
      <c r="C235" s="163" t="s">
        <v>285</v>
      </c>
      <c r="D235" s="156">
        <v>43594</v>
      </c>
      <c r="E235" s="144" t="s">
        <v>273</v>
      </c>
      <c r="F235" s="24" t="s">
        <v>286</v>
      </c>
      <c r="G235" s="12" t="s">
        <v>12</v>
      </c>
      <c r="H235" s="13">
        <v>45448</v>
      </c>
      <c r="I235" s="13">
        <v>45448</v>
      </c>
      <c r="J235" s="13">
        <v>45448</v>
      </c>
      <c r="K235" s="13">
        <f>22238+469</f>
        <v>22707</v>
      </c>
      <c r="L235" s="13">
        <v>0</v>
      </c>
      <c r="M235" s="13">
        <v>0</v>
      </c>
      <c r="N235" s="13">
        <v>0</v>
      </c>
      <c r="O235" s="13">
        <v>0</v>
      </c>
      <c r="P235" s="13">
        <f t="shared" si="126"/>
        <v>159051</v>
      </c>
    </row>
    <row r="236" spans="1:17" ht="15.75" customHeight="1" x14ac:dyDescent="0.25">
      <c r="A236" s="150"/>
      <c r="B236" s="134"/>
      <c r="C236" s="163"/>
      <c r="D236" s="156"/>
      <c r="E236" s="144"/>
      <c r="F236" s="21" t="s">
        <v>287</v>
      </c>
      <c r="G236" s="14" t="s">
        <v>13</v>
      </c>
      <c r="H236" s="15">
        <f>3373+385</f>
        <v>3758</v>
      </c>
      <c r="I236" s="15">
        <f>2432+270</f>
        <v>2702</v>
      </c>
      <c r="J236" s="15">
        <f>1396+155</f>
        <v>1551</v>
      </c>
      <c r="K236" s="31">
        <f>320+36</f>
        <v>356</v>
      </c>
      <c r="L236" s="15">
        <v>0</v>
      </c>
      <c r="M236" s="15">
        <v>0</v>
      </c>
      <c r="N236" s="15">
        <v>0</v>
      </c>
      <c r="O236" s="15">
        <v>0</v>
      </c>
      <c r="P236" s="15">
        <f t="shared" si="126"/>
        <v>8367</v>
      </c>
    </row>
    <row r="237" spans="1:17" ht="16.899999999999999" customHeight="1" x14ac:dyDescent="0.25">
      <c r="A237" s="151"/>
      <c r="B237" s="146"/>
      <c r="C237" s="164"/>
      <c r="D237" s="157"/>
      <c r="E237" s="141"/>
      <c r="F237" s="25"/>
      <c r="G237" s="25" t="s">
        <v>14</v>
      </c>
      <c r="H237" s="17">
        <f t="shared" ref="H237:O237" si="151">SUM(H235:H236)</f>
        <v>49206</v>
      </c>
      <c r="I237" s="17">
        <f t="shared" si="151"/>
        <v>48150</v>
      </c>
      <c r="J237" s="17">
        <f t="shared" si="151"/>
        <v>46999</v>
      </c>
      <c r="K237" s="17">
        <f t="shared" si="151"/>
        <v>23063</v>
      </c>
      <c r="L237" s="17">
        <f>SUM(L235:L236)</f>
        <v>0</v>
      </c>
      <c r="M237" s="17">
        <f t="shared" ref="M237:N237" si="152">SUM(M235:M236)</f>
        <v>0</v>
      </c>
      <c r="N237" s="17">
        <f t="shared" si="152"/>
        <v>0</v>
      </c>
      <c r="O237" s="17">
        <f t="shared" si="151"/>
        <v>0</v>
      </c>
      <c r="P237" s="18">
        <f t="shared" si="126"/>
        <v>167418</v>
      </c>
    </row>
    <row r="238" spans="1:17" ht="15.75" customHeight="1" x14ac:dyDescent="0.25">
      <c r="A238" s="149">
        <f t="shared" ref="A238" si="153">A235+1</f>
        <v>77</v>
      </c>
      <c r="B238" s="134" t="s">
        <v>8</v>
      </c>
      <c r="C238" s="163" t="s">
        <v>288</v>
      </c>
      <c r="D238" s="136">
        <v>43602</v>
      </c>
      <c r="E238" s="144" t="s">
        <v>289</v>
      </c>
      <c r="F238" s="24" t="s">
        <v>290</v>
      </c>
      <c r="G238" s="12" t="s">
        <v>12</v>
      </c>
      <c r="H238" s="13">
        <v>464328</v>
      </c>
      <c r="I238" s="13">
        <v>464328</v>
      </c>
      <c r="J238" s="13">
        <v>464328</v>
      </c>
      <c r="K238" s="13">
        <v>464328</v>
      </c>
      <c r="L238" s="13">
        <v>464328</v>
      </c>
      <c r="M238" s="13">
        <v>464328</v>
      </c>
      <c r="N238" s="13">
        <v>464328</v>
      </c>
      <c r="O238" s="13">
        <f>10917883-2792168-464328</f>
        <v>7661387</v>
      </c>
      <c r="P238" s="13">
        <f t="shared" si="126"/>
        <v>10911683</v>
      </c>
    </row>
    <row r="239" spans="1:17" ht="14.25" customHeight="1" x14ac:dyDescent="0.25">
      <c r="A239" s="150"/>
      <c r="B239" s="134"/>
      <c r="C239" s="163"/>
      <c r="D239" s="136"/>
      <c r="E239" s="144"/>
      <c r="F239" s="21" t="s">
        <v>291</v>
      </c>
      <c r="G239" s="14" t="s">
        <v>13</v>
      </c>
      <c r="H239" s="22">
        <f>249293+27415</f>
        <v>276708</v>
      </c>
      <c r="I239" s="22">
        <f>233226+26300</f>
        <v>259526</v>
      </c>
      <c r="J239" s="15">
        <f>223375+25189</f>
        <v>248564</v>
      </c>
      <c r="K239" s="31">
        <f>212323+23943</f>
        <v>236266</v>
      </c>
      <c r="L239" s="31">
        <f>201886+22766</f>
        <v>224652</v>
      </c>
      <c r="M239" s="31">
        <f>191463+21590</f>
        <v>213053</v>
      </c>
      <c r="N239" s="31"/>
      <c r="O239" s="31">
        <f>181548+20472+1404351+15362</f>
        <v>1621733</v>
      </c>
      <c r="P239" s="15">
        <f t="shared" si="126"/>
        <v>3080502</v>
      </c>
      <c r="Q239" s="35"/>
    </row>
    <row r="240" spans="1:17" ht="15.75" customHeight="1" x14ac:dyDescent="0.25">
      <c r="A240" s="151"/>
      <c r="B240" s="134"/>
      <c r="C240" s="163"/>
      <c r="D240" s="136"/>
      <c r="E240" s="144"/>
      <c r="F240" s="16"/>
      <c r="G240" s="16" t="s">
        <v>14</v>
      </c>
      <c r="H240" s="17">
        <f t="shared" ref="H240:O240" si="154">SUM(H238:H239)</f>
        <v>741036</v>
      </c>
      <c r="I240" s="17">
        <f t="shared" si="154"/>
        <v>723854</v>
      </c>
      <c r="J240" s="17">
        <f t="shared" si="154"/>
        <v>712892</v>
      </c>
      <c r="K240" s="17">
        <f t="shared" si="154"/>
        <v>700594</v>
      </c>
      <c r="L240" s="17">
        <f t="shared" si="154"/>
        <v>688980</v>
      </c>
      <c r="M240" s="17">
        <f t="shared" si="154"/>
        <v>677381</v>
      </c>
      <c r="N240" s="17">
        <f t="shared" si="154"/>
        <v>464328</v>
      </c>
      <c r="O240" s="17">
        <f t="shared" si="154"/>
        <v>9283120</v>
      </c>
      <c r="P240" s="18">
        <f t="shared" si="126"/>
        <v>13992185</v>
      </c>
      <c r="Q240" s="36"/>
    </row>
    <row r="241" spans="1:16" ht="15.75" customHeight="1" x14ac:dyDescent="0.25">
      <c r="A241" s="149">
        <f t="shared" ref="A241" si="155">A238+1</f>
        <v>78</v>
      </c>
      <c r="B241" s="134" t="s">
        <v>8</v>
      </c>
      <c r="C241" s="135" t="s">
        <v>292</v>
      </c>
      <c r="D241" s="136">
        <v>43623</v>
      </c>
      <c r="E241" s="144" t="s">
        <v>293</v>
      </c>
      <c r="F241" s="24" t="s">
        <v>294</v>
      </c>
      <c r="G241" s="12" t="s">
        <v>12</v>
      </c>
      <c r="H241" s="13">
        <v>7212</v>
      </c>
      <c r="I241" s="13">
        <v>7212</v>
      </c>
      <c r="J241" s="13">
        <v>7212</v>
      </c>
      <c r="K241" s="13">
        <v>7212</v>
      </c>
      <c r="L241" s="13">
        <v>7212</v>
      </c>
      <c r="M241" s="13">
        <v>7212</v>
      </c>
      <c r="N241" s="13">
        <v>7212</v>
      </c>
      <c r="O241" s="13">
        <f>67070-7060+1274-7212-7212</f>
        <v>46860</v>
      </c>
      <c r="P241" s="13">
        <f t="shared" si="126"/>
        <v>97344</v>
      </c>
    </row>
    <row r="242" spans="1:16" ht="15.75" customHeight="1" x14ac:dyDescent="0.25">
      <c r="A242" s="150"/>
      <c r="B242" s="134"/>
      <c r="C242" s="135"/>
      <c r="D242" s="136"/>
      <c r="E242" s="144"/>
      <c r="F242" s="21" t="s">
        <v>295</v>
      </c>
      <c r="G242" s="14" t="s">
        <v>13</v>
      </c>
      <c r="H242" s="15">
        <f>2161+244</f>
        <v>2405</v>
      </c>
      <c r="I242" s="15">
        <f>2031+226</f>
        <v>2257</v>
      </c>
      <c r="J242" s="15">
        <f>1871+208</f>
        <v>2079</v>
      </c>
      <c r="K242" s="31">
        <f>1701+189</f>
        <v>1890</v>
      </c>
      <c r="L242" s="31">
        <f>1537+171</f>
        <v>1708</v>
      </c>
      <c r="M242" s="31">
        <f>1372+153</f>
        <v>1525</v>
      </c>
      <c r="N242" s="31">
        <f>1212+135</f>
        <v>1347</v>
      </c>
      <c r="O242" s="31">
        <f>3848+428</f>
        <v>4276</v>
      </c>
      <c r="P242" s="15">
        <f t="shared" si="126"/>
        <v>17487</v>
      </c>
    </row>
    <row r="243" spans="1:16" ht="15.75" customHeight="1" x14ac:dyDescent="0.25">
      <c r="A243" s="151"/>
      <c r="B243" s="134"/>
      <c r="C243" s="135"/>
      <c r="D243" s="136"/>
      <c r="E243" s="144"/>
      <c r="F243" s="16"/>
      <c r="G243" s="16" t="s">
        <v>14</v>
      </c>
      <c r="H243" s="17">
        <f t="shared" ref="H243:O243" si="156">SUM(H241:H242)</f>
        <v>9617</v>
      </c>
      <c r="I243" s="17">
        <f t="shared" si="156"/>
        <v>9469</v>
      </c>
      <c r="J243" s="17">
        <f t="shared" si="156"/>
        <v>9291</v>
      </c>
      <c r="K243" s="17">
        <f t="shared" si="156"/>
        <v>9102</v>
      </c>
      <c r="L243" s="17">
        <f t="shared" si="156"/>
        <v>8920</v>
      </c>
      <c r="M243" s="17">
        <f t="shared" si="156"/>
        <v>8737</v>
      </c>
      <c r="N243" s="17">
        <f t="shared" si="156"/>
        <v>8559</v>
      </c>
      <c r="O243" s="17">
        <f t="shared" si="156"/>
        <v>51136</v>
      </c>
      <c r="P243" s="18">
        <f t="shared" si="126"/>
        <v>114831</v>
      </c>
    </row>
    <row r="244" spans="1:16" ht="16.5" customHeight="1" x14ac:dyDescent="0.25">
      <c r="A244" s="149">
        <f t="shared" ref="A244" si="157">A241+1</f>
        <v>79</v>
      </c>
      <c r="B244" s="134" t="s">
        <v>8</v>
      </c>
      <c r="C244" s="145" t="s">
        <v>717</v>
      </c>
      <c r="D244" s="136">
        <v>43641</v>
      </c>
      <c r="E244" s="144" t="s">
        <v>296</v>
      </c>
      <c r="F244" s="24" t="s">
        <v>297</v>
      </c>
      <c r="G244" s="12" t="s">
        <v>12</v>
      </c>
      <c r="H244" s="13">
        <v>37400</v>
      </c>
      <c r="I244" s="13">
        <v>37400</v>
      </c>
      <c r="J244" s="13">
        <v>37400</v>
      </c>
      <c r="K244" s="13">
        <v>37400</v>
      </c>
      <c r="L244" s="13">
        <v>37400</v>
      </c>
      <c r="M244" s="13">
        <v>37400</v>
      </c>
      <c r="N244" s="13">
        <v>37400</v>
      </c>
      <c r="O244" s="13">
        <f>165393-36754+2260-37400-37400</f>
        <v>56099</v>
      </c>
      <c r="P244" s="13">
        <f t="shared" si="126"/>
        <v>317899</v>
      </c>
    </row>
    <row r="245" spans="1:16" ht="16.5" customHeight="1" x14ac:dyDescent="0.25">
      <c r="A245" s="150"/>
      <c r="B245" s="134"/>
      <c r="C245" s="135"/>
      <c r="D245" s="136"/>
      <c r="E245" s="144"/>
      <c r="F245" s="21" t="s">
        <v>298</v>
      </c>
      <c r="G245" s="14" t="s">
        <v>13</v>
      </c>
      <c r="H245" s="15">
        <f>7042+791</f>
        <v>7833</v>
      </c>
      <c r="I245" s="15">
        <f>6267+696</f>
        <v>6963</v>
      </c>
      <c r="J245" s="15">
        <f>5427+603</f>
        <v>6030</v>
      </c>
      <c r="K245" s="31">
        <f>4559+507</f>
        <v>5066</v>
      </c>
      <c r="L245" s="31">
        <f>3705+412</f>
        <v>4117</v>
      </c>
      <c r="M245" s="31">
        <f>2853+317</f>
        <v>3170</v>
      </c>
      <c r="N245" s="31">
        <f>2008+223</f>
        <v>2231</v>
      </c>
      <c r="O245" s="31">
        <f>1446+161</f>
        <v>1607</v>
      </c>
      <c r="P245" s="15">
        <f t="shared" si="126"/>
        <v>37017</v>
      </c>
    </row>
    <row r="246" spans="1:16" ht="16.5" customHeight="1" x14ac:dyDescent="0.25">
      <c r="A246" s="151"/>
      <c r="B246" s="134"/>
      <c r="C246" s="135"/>
      <c r="D246" s="136"/>
      <c r="E246" s="144"/>
      <c r="F246" s="16"/>
      <c r="G246" s="16" t="s">
        <v>14</v>
      </c>
      <c r="H246" s="17">
        <f t="shared" ref="H246:O246" si="158">SUM(H244:H245)</f>
        <v>45233</v>
      </c>
      <c r="I246" s="17">
        <f t="shared" si="158"/>
        <v>44363</v>
      </c>
      <c r="J246" s="17">
        <f t="shared" si="158"/>
        <v>43430</v>
      </c>
      <c r="K246" s="17">
        <f t="shared" si="158"/>
        <v>42466</v>
      </c>
      <c r="L246" s="17">
        <f t="shared" si="158"/>
        <v>41517</v>
      </c>
      <c r="M246" s="17">
        <f t="shared" si="158"/>
        <v>40570</v>
      </c>
      <c r="N246" s="17">
        <f t="shared" si="158"/>
        <v>39631</v>
      </c>
      <c r="O246" s="17">
        <f t="shared" si="158"/>
        <v>57706</v>
      </c>
      <c r="P246" s="37">
        <f t="shared" si="126"/>
        <v>354916</v>
      </c>
    </row>
    <row r="247" spans="1:16" ht="16.5" customHeight="1" x14ac:dyDescent="0.25">
      <c r="A247" s="149">
        <f t="shared" ref="A247" si="159">A244+1</f>
        <v>80</v>
      </c>
      <c r="B247" s="134" t="s">
        <v>8</v>
      </c>
      <c r="C247" s="135" t="s">
        <v>299</v>
      </c>
      <c r="D247" s="136">
        <v>43641</v>
      </c>
      <c r="E247" s="144" t="s">
        <v>277</v>
      </c>
      <c r="F247" s="24" t="s">
        <v>300</v>
      </c>
      <c r="G247" s="12" t="s">
        <v>12</v>
      </c>
      <c r="H247" s="18">
        <v>0</v>
      </c>
      <c r="I247" s="20">
        <v>0</v>
      </c>
      <c r="J247" s="13">
        <v>0</v>
      </c>
      <c r="K247" s="13">
        <v>0</v>
      </c>
      <c r="L247" s="20">
        <v>0</v>
      </c>
      <c r="M247" s="13">
        <v>0</v>
      </c>
      <c r="N247" s="13">
        <v>0</v>
      </c>
      <c r="O247" s="13">
        <v>0</v>
      </c>
      <c r="P247" s="13">
        <f t="shared" si="126"/>
        <v>0</v>
      </c>
    </row>
    <row r="248" spans="1:16" ht="16.5" customHeight="1" x14ac:dyDescent="0.25">
      <c r="A248" s="150"/>
      <c r="B248" s="134"/>
      <c r="C248" s="135"/>
      <c r="D248" s="136"/>
      <c r="E248" s="144"/>
      <c r="F248" s="21" t="s">
        <v>301</v>
      </c>
      <c r="G248" s="14" t="s">
        <v>13</v>
      </c>
      <c r="H248" s="15">
        <v>9</v>
      </c>
      <c r="I248" s="23">
        <v>0</v>
      </c>
      <c r="J248" s="15">
        <v>0</v>
      </c>
      <c r="K248" s="15">
        <v>0</v>
      </c>
      <c r="L248" s="23">
        <v>0</v>
      </c>
      <c r="M248" s="15">
        <v>0</v>
      </c>
      <c r="N248" s="15">
        <v>0</v>
      </c>
      <c r="O248" s="15">
        <v>0</v>
      </c>
      <c r="P248" s="15">
        <f t="shared" si="126"/>
        <v>9</v>
      </c>
    </row>
    <row r="249" spans="1:16" ht="16.5" customHeight="1" x14ac:dyDescent="0.25">
      <c r="A249" s="151"/>
      <c r="B249" s="134"/>
      <c r="C249" s="135"/>
      <c r="D249" s="136"/>
      <c r="E249" s="144"/>
      <c r="F249" s="16"/>
      <c r="G249" s="16" t="s">
        <v>14</v>
      </c>
      <c r="H249" s="17">
        <f t="shared" ref="H249:O249" si="160">SUM(H247:H248)</f>
        <v>9</v>
      </c>
      <c r="I249" s="17">
        <f t="shared" si="160"/>
        <v>0</v>
      </c>
      <c r="J249" s="17">
        <f t="shared" si="160"/>
        <v>0</v>
      </c>
      <c r="K249" s="17">
        <f t="shared" si="160"/>
        <v>0</v>
      </c>
      <c r="L249" s="17">
        <f t="shared" si="160"/>
        <v>0</v>
      </c>
      <c r="M249" s="17">
        <f t="shared" si="160"/>
        <v>0</v>
      </c>
      <c r="N249" s="17">
        <f t="shared" si="160"/>
        <v>0</v>
      </c>
      <c r="O249" s="17">
        <f t="shared" si="160"/>
        <v>0</v>
      </c>
      <c r="P249" s="37">
        <f t="shared" si="126"/>
        <v>9</v>
      </c>
    </row>
    <row r="250" spans="1:16" ht="16.5" customHeight="1" x14ac:dyDescent="0.25">
      <c r="A250" s="149">
        <f t="shared" ref="A250" si="161">A247+1</f>
        <v>81</v>
      </c>
      <c r="B250" s="134" t="s">
        <v>8</v>
      </c>
      <c r="C250" s="135" t="s">
        <v>720</v>
      </c>
      <c r="D250" s="136">
        <v>43733</v>
      </c>
      <c r="E250" s="144" t="s">
        <v>302</v>
      </c>
      <c r="F250" s="24" t="s">
        <v>303</v>
      </c>
      <c r="G250" s="12" t="s">
        <v>12</v>
      </c>
      <c r="H250" s="13">
        <v>5468</v>
      </c>
      <c r="I250" s="13">
        <v>5468</v>
      </c>
      <c r="J250" s="13">
        <v>5468</v>
      </c>
      <c r="K250" s="13">
        <f>4038+62</f>
        <v>4100</v>
      </c>
      <c r="L250" s="20">
        <v>0</v>
      </c>
      <c r="M250" s="13">
        <v>0</v>
      </c>
      <c r="N250" s="13">
        <v>0</v>
      </c>
      <c r="O250" s="13">
        <v>0</v>
      </c>
      <c r="P250" s="13">
        <f t="shared" si="126"/>
        <v>20504</v>
      </c>
    </row>
    <row r="251" spans="1:16" ht="16.5" customHeight="1" x14ac:dyDescent="0.25">
      <c r="A251" s="150"/>
      <c r="B251" s="134"/>
      <c r="C251" s="135"/>
      <c r="D251" s="136"/>
      <c r="E251" s="144"/>
      <c r="F251" s="21" t="s">
        <v>304</v>
      </c>
      <c r="G251" s="14" t="s">
        <v>13</v>
      </c>
      <c r="H251" s="15">
        <f>446+50</f>
        <v>496</v>
      </c>
      <c r="I251" s="15">
        <f>324+36</f>
        <v>360</v>
      </c>
      <c r="J251" s="15">
        <f>199+22</f>
        <v>221</v>
      </c>
      <c r="K251" s="31">
        <f>74+8</f>
        <v>82</v>
      </c>
      <c r="L251" s="23">
        <v>0</v>
      </c>
      <c r="M251" s="15">
        <v>0</v>
      </c>
      <c r="N251" s="15">
        <v>0</v>
      </c>
      <c r="O251" s="15">
        <v>0</v>
      </c>
      <c r="P251" s="15">
        <f t="shared" si="126"/>
        <v>1159</v>
      </c>
    </row>
    <row r="252" spans="1:16" ht="16.5" customHeight="1" x14ac:dyDescent="0.25">
      <c r="A252" s="151"/>
      <c r="B252" s="146"/>
      <c r="C252" s="148"/>
      <c r="D252" s="138"/>
      <c r="E252" s="141"/>
      <c r="F252" s="25"/>
      <c r="G252" s="25" t="s">
        <v>14</v>
      </c>
      <c r="H252" s="17">
        <f t="shared" ref="H252:O252" si="162">SUM(H250:H251)</f>
        <v>5964</v>
      </c>
      <c r="I252" s="17">
        <f t="shared" si="162"/>
        <v>5828</v>
      </c>
      <c r="J252" s="17">
        <f t="shared" si="162"/>
        <v>5689</v>
      </c>
      <c r="K252" s="17">
        <f t="shared" si="162"/>
        <v>4182</v>
      </c>
      <c r="L252" s="17">
        <f t="shared" si="162"/>
        <v>0</v>
      </c>
      <c r="M252" s="17">
        <f t="shared" si="162"/>
        <v>0</v>
      </c>
      <c r="N252" s="17">
        <f t="shared" si="162"/>
        <v>0</v>
      </c>
      <c r="O252" s="17">
        <f t="shared" si="162"/>
        <v>0</v>
      </c>
      <c r="P252" s="18">
        <f t="shared" si="126"/>
        <v>21663</v>
      </c>
    </row>
    <row r="253" spans="1:16" ht="16.5" customHeight="1" x14ac:dyDescent="0.25">
      <c r="A253" s="149">
        <f t="shared" ref="A253:A313" si="163">A250+1</f>
        <v>82</v>
      </c>
      <c r="B253" s="134" t="s">
        <v>8</v>
      </c>
      <c r="C253" s="145" t="s">
        <v>305</v>
      </c>
      <c r="D253" s="136">
        <v>43756</v>
      </c>
      <c r="E253" s="144" t="s">
        <v>306</v>
      </c>
      <c r="F253" s="24" t="s">
        <v>307</v>
      </c>
      <c r="G253" s="12" t="s">
        <v>12</v>
      </c>
      <c r="H253" s="13">
        <v>23076</v>
      </c>
      <c r="I253" s="13">
        <v>23076</v>
      </c>
      <c r="J253" s="13">
        <v>23076</v>
      </c>
      <c r="K253" s="13">
        <v>23076</v>
      </c>
      <c r="L253" s="13">
        <v>23076</v>
      </c>
      <c r="M253" s="13">
        <v>23076</v>
      </c>
      <c r="N253" s="13">
        <v>23076</v>
      </c>
      <c r="O253" s="13">
        <f>113760-22752+1258-23076-23076</f>
        <v>46114</v>
      </c>
      <c r="P253" s="13">
        <f t="shared" si="126"/>
        <v>207646</v>
      </c>
    </row>
    <row r="254" spans="1:16" ht="16.5" customHeight="1" x14ac:dyDescent="0.25">
      <c r="A254" s="150"/>
      <c r="B254" s="134"/>
      <c r="C254" s="135"/>
      <c r="D254" s="136"/>
      <c r="E254" s="144"/>
      <c r="F254" s="21" t="s">
        <v>308</v>
      </c>
      <c r="G254" s="14" t="s">
        <v>13</v>
      </c>
      <c r="H254" s="15">
        <f>4679+517</f>
        <v>5196</v>
      </c>
      <c r="I254" s="15">
        <f>4127+459</f>
        <v>4586</v>
      </c>
      <c r="J254" s="15">
        <f>3612+401</f>
        <v>4013</v>
      </c>
      <c r="K254" s="31">
        <f>3075+342</f>
        <v>3417</v>
      </c>
      <c r="L254" s="31">
        <f>2549+283</f>
        <v>2832</v>
      </c>
      <c r="M254" s="31">
        <f>2023+225</f>
        <v>2248</v>
      </c>
      <c r="N254" s="31">
        <f>1502+167</f>
        <v>1669</v>
      </c>
      <c r="O254" s="31">
        <f>1420+158</f>
        <v>1578</v>
      </c>
      <c r="P254" s="15">
        <f t="shared" si="126"/>
        <v>25539</v>
      </c>
    </row>
    <row r="255" spans="1:16" ht="16.5" customHeight="1" x14ac:dyDescent="0.25">
      <c r="A255" s="151"/>
      <c r="B255" s="134"/>
      <c r="C255" s="135"/>
      <c r="D255" s="136"/>
      <c r="E255" s="144"/>
      <c r="F255" s="16"/>
      <c r="G255" s="16" t="s">
        <v>14</v>
      </c>
      <c r="H255" s="17">
        <f t="shared" ref="H255:O255" si="164">SUM(H253:H254)</f>
        <v>28272</v>
      </c>
      <c r="I255" s="17">
        <f t="shared" si="164"/>
        <v>27662</v>
      </c>
      <c r="J255" s="17">
        <f t="shared" si="164"/>
        <v>27089</v>
      </c>
      <c r="K255" s="17">
        <f t="shared" si="164"/>
        <v>26493</v>
      </c>
      <c r="L255" s="17">
        <f t="shared" si="164"/>
        <v>25908</v>
      </c>
      <c r="M255" s="17">
        <f t="shared" si="164"/>
        <v>25324</v>
      </c>
      <c r="N255" s="17">
        <f t="shared" si="164"/>
        <v>24745</v>
      </c>
      <c r="O255" s="17">
        <f t="shared" si="164"/>
        <v>47692</v>
      </c>
      <c r="P255" s="18">
        <f t="shared" si="126"/>
        <v>233185</v>
      </c>
    </row>
    <row r="256" spans="1:16" ht="16.5" customHeight="1" x14ac:dyDescent="0.25">
      <c r="A256" s="149">
        <f t="shared" si="163"/>
        <v>83</v>
      </c>
      <c r="B256" s="134" t="s">
        <v>8</v>
      </c>
      <c r="C256" s="135" t="s">
        <v>309</v>
      </c>
      <c r="D256" s="136">
        <v>43812</v>
      </c>
      <c r="E256" s="144" t="s">
        <v>171</v>
      </c>
      <c r="F256" s="24" t="s">
        <v>310</v>
      </c>
      <c r="G256" s="12" t="s">
        <v>12</v>
      </c>
      <c r="H256" s="13">
        <v>55040</v>
      </c>
      <c r="I256" s="13">
        <v>55040</v>
      </c>
      <c r="J256" s="13">
        <v>55040</v>
      </c>
      <c r="K256" s="13">
        <f>25159+2359</f>
        <v>27518</v>
      </c>
      <c r="L256" s="20">
        <v>0</v>
      </c>
      <c r="M256" s="13">
        <v>0</v>
      </c>
      <c r="N256" s="13">
        <v>0</v>
      </c>
      <c r="O256" s="13">
        <v>0</v>
      </c>
      <c r="P256" s="13">
        <f t="shared" si="126"/>
        <v>192638</v>
      </c>
    </row>
    <row r="257" spans="1:17" ht="16.5" customHeight="1" x14ac:dyDescent="0.25">
      <c r="A257" s="150"/>
      <c r="B257" s="134"/>
      <c r="C257" s="135"/>
      <c r="D257" s="136"/>
      <c r="E257" s="144"/>
      <c r="F257" s="21" t="s">
        <v>311</v>
      </c>
      <c r="G257" s="14" t="s">
        <v>13</v>
      </c>
      <c r="H257" s="15">
        <f>4388+467</f>
        <v>4855</v>
      </c>
      <c r="I257" s="15">
        <f>2958+327</f>
        <v>3285</v>
      </c>
      <c r="J257" s="15">
        <f>1691+188</f>
        <v>1879</v>
      </c>
      <c r="K257" s="15">
        <f>441+49</f>
        <v>490</v>
      </c>
      <c r="L257" s="23">
        <v>0</v>
      </c>
      <c r="M257" s="15">
        <v>0</v>
      </c>
      <c r="N257" s="15">
        <v>0</v>
      </c>
      <c r="O257" s="15">
        <v>0</v>
      </c>
      <c r="P257" s="15">
        <f t="shared" si="126"/>
        <v>10509</v>
      </c>
    </row>
    <row r="258" spans="1:17" ht="28.5" customHeight="1" x14ac:dyDescent="0.25">
      <c r="A258" s="151"/>
      <c r="B258" s="134"/>
      <c r="C258" s="135"/>
      <c r="D258" s="136"/>
      <c r="E258" s="144"/>
      <c r="F258" s="16"/>
      <c r="G258" s="16" t="s">
        <v>14</v>
      </c>
      <c r="H258" s="17">
        <f t="shared" ref="H258:O258" si="165">SUM(H256:H257)</f>
        <v>59895</v>
      </c>
      <c r="I258" s="17">
        <f t="shared" si="165"/>
        <v>58325</v>
      </c>
      <c r="J258" s="17">
        <f t="shared" si="165"/>
        <v>56919</v>
      </c>
      <c r="K258" s="17">
        <f t="shared" si="165"/>
        <v>28008</v>
      </c>
      <c r="L258" s="17">
        <f t="shared" si="165"/>
        <v>0</v>
      </c>
      <c r="M258" s="17">
        <f t="shared" si="165"/>
        <v>0</v>
      </c>
      <c r="N258" s="17">
        <f t="shared" si="165"/>
        <v>0</v>
      </c>
      <c r="O258" s="17">
        <f t="shared" si="165"/>
        <v>0</v>
      </c>
      <c r="P258" s="18">
        <f t="shared" si="126"/>
        <v>203147</v>
      </c>
    </row>
    <row r="259" spans="1:17" ht="16.899999999999999" customHeight="1" x14ac:dyDescent="0.25">
      <c r="A259" s="149">
        <f t="shared" si="163"/>
        <v>84</v>
      </c>
      <c r="B259" s="134" t="s">
        <v>8</v>
      </c>
      <c r="C259" s="163" t="s">
        <v>312</v>
      </c>
      <c r="D259" s="136">
        <v>44012</v>
      </c>
      <c r="E259" s="144" t="s">
        <v>313</v>
      </c>
      <c r="F259" s="24" t="s">
        <v>314</v>
      </c>
      <c r="G259" s="12" t="s">
        <v>12</v>
      </c>
      <c r="H259" s="13">
        <v>118232</v>
      </c>
      <c r="I259" s="13">
        <v>118232</v>
      </c>
      <c r="J259" s="13">
        <v>118232</v>
      </c>
      <c r="K259" s="13">
        <v>118232</v>
      </c>
      <c r="L259" s="13">
        <v>118232</v>
      </c>
      <c r="M259" s="13">
        <v>118232</v>
      </c>
      <c r="N259" s="13">
        <v>118232</v>
      </c>
      <c r="O259" s="13">
        <f>1793464-115707+36603-118232-118232</f>
        <v>1477896</v>
      </c>
      <c r="P259" s="13">
        <f t="shared" si="126"/>
        <v>2305520</v>
      </c>
      <c r="Q259" s="38"/>
    </row>
    <row r="260" spans="1:17" ht="16.149999999999999" customHeight="1" x14ac:dyDescent="0.25">
      <c r="A260" s="150"/>
      <c r="B260" s="134"/>
      <c r="C260" s="163"/>
      <c r="D260" s="136"/>
      <c r="E260" s="144"/>
      <c r="F260" s="21" t="s">
        <v>315</v>
      </c>
      <c r="G260" s="14" t="s">
        <v>316</v>
      </c>
      <c r="H260" s="15">
        <v>70144</v>
      </c>
      <c r="I260" s="15">
        <v>69495</v>
      </c>
      <c r="J260" s="15">
        <v>65878</v>
      </c>
      <c r="K260" s="15">
        <v>61908</v>
      </c>
      <c r="L260" s="15">
        <v>58120</v>
      </c>
      <c r="M260" s="15">
        <v>54337</v>
      </c>
      <c r="N260" s="15">
        <v>50697</v>
      </c>
      <c r="O260" s="15">
        <v>312619</v>
      </c>
      <c r="P260" s="15">
        <f t="shared" si="126"/>
        <v>743198</v>
      </c>
      <c r="Q260" s="35"/>
    </row>
    <row r="261" spans="1:17" ht="16.5" customHeight="1" x14ac:dyDescent="0.25">
      <c r="A261" s="151"/>
      <c r="B261" s="134"/>
      <c r="C261" s="163"/>
      <c r="D261" s="136"/>
      <c r="E261" s="144"/>
      <c r="F261" s="16"/>
      <c r="G261" s="16" t="s">
        <v>14</v>
      </c>
      <c r="H261" s="17">
        <f t="shared" ref="H261:O261" si="166">SUM(H259:H260)</f>
        <v>188376</v>
      </c>
      <c r="I261" s="17">
        <f t="shared" si="166"/>
        <v>187727</v>
      </c>
      <c r="J261" s="17">
        <f t="shared" si="166"/>
        <v>184110</v>
      </c>
      <c r="K261" s="17">
        <f t="shared" si="166"/>
        <v>180140</v>
      </c>
      <c r="L261" s="17">
        <f t="shared" si="166"/>
        <v>176352</v>
      </c>
      <c r="M261" s="17">
        <f t="shared" si="166"/>
        <v>172569</v>
      </c>
      <c r="N261" s="17">
        <f t="shared" si="166"/>
        <v>168929</v>
      </c>
      <c r="O261" s="17">
        <f t="shared" si="166"/>
        <v>1790515</v>
      </c>
      <c r="P261" s="18">
        <f t="shared" si="126"/>
        <v>3048718</v>
      </c>
      <c r="Q261" s="36"/>
    </row>
    <row r="262" spans="1:17" ht="17.25" customHeight="1" x14ac:dyDescent="0.25">
      <c r="A262" s="149">
        <f t="shared" si="163"/>
        <v>85</v>
      </c>
      <c r="B262" s="134" t="s">
        <v>8</v>
      </c>
      <c r="C262" s="145" t="s">
        <v>317</v>
      </c>
      <c r="D262" s="136">
        <v>44034</v>
      </c>
      <c r="E262" s="144" t="s">
        <v>318</v>
      </c>
      <c r="F262" s="24" t="s">
        <v>319</v>
      </c>
      <c r="G262" s="12" t="s">
        <v>12</v>
      </c>
      <c r="H262" s="13">
        <v>19228</v>
      </c>
      <c r="I262" s="13">
        <v>19228</v>
      </c>
      <c r="J262" s="13">
        <v>19228</v>
      </c>
      <c r="K262" s="13">
        <v>19228</v>
      </c>
      <c r="L262" s="13">
        <v>19228</v>
      </c>
      <c r="M262" s="13">
        <v>19228</v>
      </c>
      <c r="N262" s="13">
        <v>19228</v>
      </c>
      <c r="O262" s="13">
        <f>295785-18780+6584-19228-19228</f>
        <v>245133</v>
      </c>
      <c r="P262" s="13">
        <f t="shared" si="126"/>
        <v>379729</v>
      </c>
    </row>
    <row r="263" spans="1:17" ht="15" customHeight="1" x14ac:dyDescent="0.25">
      <c r="A263" s="150"/>
      <c r="B263" s="134"/>
      <c r="C263" s="145"/>
      <c r="D263" s="136"/>
      <c r="E263" s="144"/>
      <c r="F263" s="21" t="s">
        <v>320</v>
      </c>
      <c r="G263" s="14" t="s">
        <v>316</v>
      </c>
      <c r="H263" s="15">
        <v>11307</v>
      </c>
      <c r="I263" s="15">
        <v>11212</v>
      </c>
      <c r="J263" s="15">
        <v>10637</v>
      </c>
      <c r="K263" s="31">
        <v>10005</v>
      </c>
      <c r="L263" s="31">
        <v>9402</v>
      </c>
      <c r="M263" s="31">
        <v>8800</v>
      </c>
      <c r="N263" s="31">
        <v>8220</v>
      </c>
      <c r="O263" s="31">
        <v>51685</v>
      </c>
      <c r="P263" s="15">
        <f t="shared" si="126"/>
        <v>121268</v>
      </c>
    </row>
    <row r="264" spans="1:17" ht="16.149999999999999" customHeight="1" x14ac:dyDescent="0.25">
      <c r="A264" s="151"/>
      <c r="B264" s="146"/>
      <c r="C264" s="147"/>
      <c r="D264" s="138"/>
      <c r="E264" s="141"/>
      <c r="F264" s="25"/>
      <c r="G264" s="25" t="s">
        <v>14</v>
      </c>
      <c r="H264" s="17">
        <f t="shared" ref="H264:O264" si="167">SUM(H262:H263)</f>
        <v>30535</v>
      </c>
      <c r="I264" s="17">
        <f t="shared" si="167"/>
        <v>30440</v>
      </c>
      <c r="J264" s="17">
        <f t="shared" si="167"/>
        <v>29865</v>
      </c>
      <c r="K264" s="17">
        <f t="shared" si="167"/>
        <v>29233</v>
      </c>
      <c r="L264" s="17">
        <f t="shared" si="167"/>
        <v>28630</v>
      </c>
      <c r="M264" s="17">
        <f t="shared" si="167"/>
        <v>28028</v>
      </c>
      <c r="N264" s="17">
        <f t="shared" si="167"/>
        <v>27448</v>
      </c>
      <c r="O264" s="17">
        <f t="shared" si="167"/>
        <v>296818</v>
      </c>
      <c r="P264" s="18">
        <f t="shared" si="126"/>
        <v>500997</v>
      </c>
    </row>
    <row r="265" spans="1:17" ht="16.5" customHeight="1" x14ac:dyDescent="0.25">
      <c r="A265" s="149">
        <f t="shared" si="163"/>
        <v>86</v>
      </c>
      <c r="B265" s="134" t="s">
        <v>8</v>
      </c>
      <c r="C265" s="145" t="s">
        <v>321</v>
      </c>
      <c r="D265" s="136">
        <v>44053</v>
      </c>
      <c r="E265" s="144" t="s">
        <v>183</v>
      </c>
      <c r="F265" s="24" t="s">
        <v>322</v>
      </c>
      <c r="G265" s="12" t="s">
        <v>12</v>
      </c>
      <c r="H265" s="13">
        <v>22676</v>
      </c>
      <c r="I265" s="13">
        <v>22676</v>
      </c>
      <c r="J265" s="13">
        <v>22676</v>
      </c>
      <c r="K265" s="13">
        <v>22676</v>
      </c>
      <c r="L265" s="13">
        <v>22676</v>
      </c>
      <c r="M265" s="13">
        <v>22676</v>
      </c>
      <c r="N265" s="13">
        <v>22676</v>
      </c>
      <c r="O265" s="13">
        <f>127144-22112+2646-22676-22676</f>
        <v>62326</v>
      </c>
      <c r="P265" s="13">
        <f t="shared" si="126"/>
        <v>221058</v>
      </c>
    </row>
    <row r="266" spans="1:17" ht="16.5" customHeight="1" x14ac:dyDescent="0.25">
      <c r="A266" s="150"/>
      <c r="B266" s="134"/>
      <c r="C266" s="145"/>
      <c r="D266" s="136"/>
      <c r="E266" s="144"/>
      <c r="F266" s="21" t="s">
        <v>323</v>
      </c>
      <c r="G266" s="14" t="s">
        <v>316</v>
      </c>
      <c r="H266" s="15">
        <v>6047</v>
      </c>
      <c r="I266" s="15">
        <v>5623</v>
      </c>
      <c r="J266" s="15">
        <v>4981</v>
      </c>
      <c r="K266" s="31">
        <v>4313</v>
      </c>
      <c r="L266" s="31">
        <v>3659</v>
      </c>
      <c r="M266" s="31">
        <v>3005</v>
      </c>
      <c r="N266" s="31">
        <v>2359</v>
      </c>
      <c r="O266" s="31">
        <v>3097</v>
      </c>
      <c r="P266" s="15">
        <f t="shared" ref="P266:P329" si="168">SUM(H266:O266)</f>
        <v>33084</v>
      </c>
    </row>
    <row r="267" spans="1:17" ht="16.5" customHeight="1" x14ac:dyDescent="0.25">
      <c r="A267" s="151"/>
      <c r="B267" s="134"/>
      <c r="C267" s="145"/>
      <c r="D267" s="136"/>
      <c r="E267" s="144"/>
      <c r="F267" s="16"/>
      <c r="G267" s="16" t="s">
        <v>14</v>
      </c>
      <c r="H267" s="17">
        <f t="shared" ref="H267:O267" si="169">SUM(H265:H266)</f>
        <v>28723</v>
      </c>
      <c r="I267" s="17">
        <f t="shared" si="169"/>
        <v>28299</v>
      </c>
      <c r="J267" s="17">
        <f t="shared" si="169"/>
        <v>27657</v>
      </c>
      <c r="K267" s="17">
        <f t="shared" si="169"/>
        <v>26989</v>
      </c>
      <c r="L267" s="17">
        <f t="shared" si="169"/>
        <v>26335</v>
      </c>
      <c r="M267" s="17">
        <f t="shared" si="169"/>
        <v>25681</v>
      </c>
      <c r="N267" s="17">
        <f t="shared" si="169"/>
        <v>25035</v>
      </c>
      <c r="O267" s="17">
        <f t="shared" si="169"/>
        <v>65423</v>
      </c>
      <c r="P267" s="18">
        <f t="shared" si="168"/>
        <v>254142</v>
      </c>
    </row>
    <row r="268" spans="1:17" ht="16.5" customHeight="1" x14ac:dyDescent="0.25">
      <c r="A268" s="149">
        <f t="shared" si="163"/>
        <v>87</v>
      </c>
      <c r="B268" s="134" t="s">
        <v>8</v>
      </c>
      <c r="C268" s="145" t="s">
        <v>324</v>
      </c>
      <c r="D268" s="136">
        <v>44053</v>
      </c>
      <c r="E268" s="144" t="s">
        <v>183</v>
      </c>
      <c r="F268" s="24" t="s">
        <v>325</v>
      </c>
      <c r="G268" s="12" t="s">
        <v>12</v>
      </c>
      <c r="H268" s="13">
        <v>40244</v>
      </c>
      <c r="I268" s="13">
        <v>40244</v>
      </c>
      <c r="J268" s="13">
        <v>40244</v>
      </c>
      <c r="K268" s="13">
        <v>40244</v>
      </c>
      <c r="L268" s="13">
        <v>40244</v>
      </c>
      <c r="M268" s="13">
        <v>40244</v>
      </c>
      <c r="N268" s="13">
        <v>40244</v>
      </c>
      <c r="O268" s="13">
        <f>225676-39248+4727-40244-40244</f>
        <v>110667</v>
      </c>
      <c r="P268" s="13">
        <f t="shared" si="168"/>
        <v>392375</v>
      </c>
    </row>
    <row r="269" spans="1:17" ht="16.5" customHeight="1" x14ac:dyDescent="0.25">
      <c r="A269" s="150"/>
      <c r="B269" s="134"/>
      <c r="C269" s="145"/>
      <c r="D269" s="136"/>
      <c r="E269" s="144"/>
      <c r="F269" s="21" t="s">
        <v>326</v>
      </c>
      <c r="G269" s="14" t="s">
        <v>316</v>
      </c>
      <c r="H269" s="15">
        <v>10734</v>
      </c>
      <c r="I269" s="15">
        <v>9982</v>
      </c>
      <c r="J269" s="15">
        <v>8842</v>
      </c>
      <c r="K269" s="31">
        <v>7656</v>
      </c>
      <c r="L269" s="31">
        <v>6495</v>
      </c>
      <c r="M269" s="31">
        <v>5335</v>
      </c>
      <c r="N269" s="31">
        <v>4188</v>
      </c>
      <c r="O269" s="31">
        <f>5501</f>
        <v>5501</v>
      </c>
      <c r="P269" s="15">
        <f t="shared" si="168"/>
        <v>58733</v>
      </c>
    </row>
    <row r="270" spans="1:17" ht="16.5" customHeight="1" x14ac:dyDescent="0.25">
      <c r="A270" s="151"/>
      <c r="B270" s="134"/>
      <c r="C270" s="145"/>
      <c r="D270" s="136"/>
      <c r="E270" s="144"/>
      <c r="F270" s="16"/>
      <c r="G270" s="16" t="s">
        <v>14</v>
      </c>
      <c r="H270" s="17">
        <f t="shared" ref="H270:O270" si="170">SUM(H268:H269)</f>
        <v>50978</v>
      </c>
      <c r="I270" s="17">
        <f t="shared" si="170"/>
        <v>50226</v>
      </c>
      <c r="J270" s="17">
        <f t="shared" si="170"/>
        <v>49086</v>
      </c>
      <c r="K270" s="17">
        <f t="shared" si="170"/>
        <v>47900</v>
      </c>
      <c r="L270" s="17">
        <f t="shared" si="170"/>
        <v>46739</v>
      </c>
      <c r="M270" s="17">
        <f t="shared" si="170"/>
        <v>45579</v>
      </c>
      <c r="N270" s="17">
        <f t="shared" si="170"/>
        <v>44432</v>
      </c>
      <c r="O270" s="17">
        <f t="shared" si="170"/>
        <v>116168</v>
      </c>
      <c r="P270" s="18">
        <f t="shared" si="168"/>
        <v>451108</v>
      </c>
    </row>
    <row r="271" spans="1:17" ht="16.5" customHeight="1" x14ac:dyDescent="0.25">
      <c r="A271" s="149">
        <f t="shared" si="163"/>
        <v>88</v>
      </c>
      <c r="B271" s="134" t="s">
        <v>8</v>
      </c>
      <c r="C271" s="163" t="s">
        <v>327</v>
      </c>
      <c r="D271" s="136">
        <v>44076</v>
      </c>
      <c r="E271" s="144" t="s">
        <v>328</v>
      </c>
      <c r="F271" s="24" t="s">
        <v>329</v>
      </c>
      <c r="G271" s="12" t="s">
        <v>12</v>
      </c>
      <c r="H271" s="13">
        <v>22036</v>
      </c>
      <c r="I271" s="13">
        <v>22036</v>
      </c>
      <c r="J271" s="13">
        <v>22036</v>
      </c>
      <c r="K271" s="13">
        <v>22036</v>
      </c>
      <c r="L271" s="13">
        <v>22036</v>
      </c>
      <c r="M271" s="13">
        <v>22036</v>
      </c>
      <c r="N271" s="13">
        <v>22036</v>
      </c>
      <c r="O271" s="13">
        <f>124292-21616+1956-22036-22036</f>
        <v>60560</v>
      </c>
      <c r="P271" s="13">
        <f t="shared" si="168"/>
        <v>214812</v>
      </c>
    </row>
    <row r="272" spans="1:17" ht="16.5" customHeight="1" x14ac:dyDescent="0.25">
      <c r="A272" s="150"/>
      <c r="B272" s="134"/>
      <c r="C272" s="163"/>
      <c r="D272" s="136"/>
      <c r="E272" s="144"/>
      <c r="F272" s="21" t="s">
        <v>330</v>
      </c>
      <c r="G272" s="14" t="s">
        <v>316</v>
      </c>
      <c r="H272" s="15">
        <v>5866</v>
      </c>
      <c r="I272" s="15">
        <v>5397</v>
      </c>
      <c r="J272" s="15">
        <v>4781</v>
      </c>
      <c r="K272" s="31">
        <v>4139</v>
      </c>
      <c r="L272" s="31">
        <v>3511</v>
      </c>
      <c r="M272" s="31">
        <v>2884</v>
      </c>
      <c r="N272" s="31">
        <v>2264</v>
      </c>
      <c r="O272" s="31">
        <f>2986</f>
        <v>2986</v>
      </c>
      <c r="P272" s="15">
        <f t="shared" si="168"/>
        <v>31828</v>
      </c>
    </row>
    <row r="273" spans="1:16" ht="33" customHeight="1" x14ac:dyDescent="0.25">
      <c r="A273" s="151"/>
      <c r="B273" s="134"/>
      <c r="C273" s="163"/>
      <c r="D273" s="136"/>
      <c r="E273" s="144"/>
      <c r="F273" s="16"/>
      <c r="G273" s="16" t="s">
        <v>14</v>
      </c>
      <c r="H273" s="17">
        <f t="shared" ref="H273:O273" si="171">SUM(H271:H272)</f>
        <v>27902</v>
      </c>
      <c r="I273" s="17">
        <f t="shared" si="171"/>
        <v>27433</v>
      </c>
      <c r="J273" s="17">
        <f t="shared" si="171"/>
        <v>26817</v>
      </c>
      <c r="K273" s="33">
        <f t="shared" si="171"/>
        <v>26175</v>
      </c>
      <c r="L273" s="33">
        <f t="shared" si="171"/>
        <v>25547</v>
      </c>
      <c r="M273" s="33">
        <f t="shared" si="171"/>
        <v>24920</v>
      </c>
      <c r="N273" s="17">
        <f t="shared" si="171"/>
        <v>24300</v>
      </c>
      <c r="O273" s="33">
        <f t="shared" si="171"/>
        <v>63546</v>
      </c>
      <c r="P273" s="18">
        <f t="shared" si="168"/>
        <v>246640</v>
      </c>
    </row>
    <row r="274" spans="1:16" ht="16.5" customHeight="1" x14ac:dyDescent="0.25">
      <c r="A274" s="149">
        <f t="shared" si="163"/>
        <v>89</v>
      </c>
      <c r="B274" s="134" t="s">
        <v>8</v>
      </c>
      <c r="C274" s="135" t="s">
        <v>331</v>
      </c>
      <c r="D274" s="136">
        <v>44111</v>
      </c>
      <c r="E274" s="144" t="s">
        <v>332</v>
      </c>
      <c r="F274" s="24" t="s">
        <v>333</v>
      </c>
      <c r="G274" s="12" t="s">
        <v>12</v>
      </c>
      <c r="H274" s="13">
        <v>29692</v>
      </c>
      <c r="I274" s="13">
        <v>29692</v>
      </c>
      <c r="J274" s="13">
        <v>29692</v>
      </c>
      <c r="K274" s="13">
        <v>29692</v>
      </c>
      <c r="L274" s="13">
        <v>29692</v>
      </c>
      <c r="M274" s="13">
        <v>29692</v>
      </c>
      <c r="N274" s="13">
        <v>29692</v>
      </c>
      <c r="O274" s="13">
        <f>459837-29196+7310-29692-29692</f>
        <v>378567</v>
      </c>
      <c r="P274" s="13">
        <f t="shared" si="168"/>
        <v>586411</v>
      </c>
    </row>
    <row r="275" spans="1:16" ht="16.5" customHeight="1" x14ac:dyDescent="0.25">
      <c r="A275" s="150"/>
      <c r="B275" s="134"/>
      <c r="C275" s="135"/>
      <c r="D275" s="136"/>
      <c r="E275" s="144"/>
      <c r="F275" s="21" t="s">
        <v>334</v>
      </c>
      <c r="G275" s="14" t="s">
        <v>316</v>
      </c>
      <c r="H275" s="15">
        <v>17905</v>
      </c>
      <c r="I275" s="15">
        <v>17039</v>
      </c>
      <c r="J275" s="15">
        <v>16166</v>
      </c>
      <c r="K275" s="31">
        <v>15205</v>
      </c>
      <c r="L275" s="31">
        <v>14289</v>
      </c>
      <c r="M275" s="31">
        <v>13374</v>
      </c>
      <c r="N275" s="31">
        <v>12494</v>
      </c>
      <c r="O275" s="31">
        <v>78598</v>
      </c>
      <c r="P275" s="15">
        <f t="shared" si="168"/>
        <v>185070</v>
      </c>
    </row>
    <row r="276" spans="1:16" ht="16.5" customHeight="1" x14ac:dyDescent="0.25">
      <c r="A276" s="151"/>
      <c r="B276" s="134"/>
      <c r="C276" s="135"/>
      <c r="D276" s="136"/>
      <c r="E276" s="144"/>
      <c r="F276" s="16"/>
      <c r="G276" s="16" t="s">
        <v>14</v>
      </c>
      <c r="H276" s="17">
        <f t="shared" ref="H276:O276" si="172">SUM(H274:H275)</f>
        <v>47597</v>
      </c>
      <c r="I276" s="17">
        <f t="shared" si="172"/>
        <v>46731</v>
      </c>
      <c r="J276" s="17">
        <f t="shared" si="172"/>
        <v>45858</v>
      </c>
      <c r="K276" s="17">
        <f t="shared" si="172"/>
        <v>44897</v>
      </c>
      <c r="L276" s="17">
        <f t="shared" si="172"/>
        <v>43981</v>
      </c>
      <c r="M276" s="17">
        <f t="shared" si="172"/>
        <v>43066</v>
      </c>
      <c r="N276" s="17">
        <f t="shared" si="172"/>
        <v>42186</v>
      </c>
      <c r="O276" s="17">
        <f t="shared" si="172"/>
        <v>457165</v>
      </c>
      <c r="P276" s="18">
        <f t="shared" si="168"/>
        <v>771481</v>
      </c>
    </row>
    <row r="277" spans="1:16" ht="16.5" customHeight="1" x14ac:dyDescent="0.25">
      <c r="A277" s="149">
        <f t="shared" si="163"/>
        <v>90</v>
      </c>
      <c r="B277" s="134" t="s">
        <v>8</v>
      </c>
      <c r="C277" s="135" t="s">
        <v>335</v>
      </c>
      <c r="D277" s="136">
        <v>44118</v>
      </c>
      <c r="E277" s="144" t="s">
        <v>86</v>
      </c>
      <c r="F277" s="24" t="s">
        <v>336</v>
      </c>
      <c r="G277" s="12" t="s">
        <v>12</v>
      </c>
      <c r="H277" s="13">
        <v>8032</v>
      </c>
      <c r="I277" s="13">
        <v>8032</v>
      </c>
      <c r="J277" s="13">
        <v>8032</v>
      </c>
      <c r="K277" s="13">
        <v>8032</v>
      </c>
      <c r="L277" s="13">
        <f>5946+69</f>
        <v>6015</v>
      </c>
      <c r="M277" s="13">
        <v>0</v>
      </c>
      <c r="N277" s="13">
        <v>0</v>
      </c>
      <c r="O277" s="13">
        <v>0</v>
      </c>
      <c r="P277" s="13">
        <f t="shared" si="168"/>
        <v>38143</v>
      </c>
    </row>
    <row r="278" spans="1:16" ht="16.5" customHeight="1" x14ac:dyDescent="0.25">
      <c r="A278" s="150"/>
      <c r="B278" s="134"/>
      <c r="C278" s="135"/>
      <c r="D278" s="136"/>
      <c r="E278" s="144"/>
      <c r="F278" s="21" t="s">
        <v>337</v>
      </c>
      <c r="G278" s="14" t="s">
        <v>316</v>
      </c>
      <c r="H278" s="15">
        <v>1021</v>
      </c>
      <c r="I278" s="15">
        <v>803</v>
      </c>
      <c r="J278" s="15">
        <v>581</v>
      </c>
      <c r="K278" s="31">
        <v>356</v>
      </c>
      <c r="L278" s="31">
        <v>132</v>
      </c>
      <c r="M278" s="31">
        <v>0</v>
      </c>
      <c r="N278" s="31">
        <v>0</v>
      </c>
      <c r="O278" s="31">
        <v>0</v>
      </c>
      <c r="P278" s="15">
        <f t="shared" si="168"/>
        <v>2893</v>
      </c>
    </row>
    <row r="279" spans="1:16" ht="31.5" customHeight="1" x14ac:dyDescent="0.25">
      <c r="A279" s="151"/>
      <c r="B279" s="134"/>
      <c r="C279" s="135"/>
      <c r="D279" s="136"/>
      <c r="E279" s="144"/>
      <c r="F279" s="16"/>
      <c r="G279" s="16" t="s">
        <v>14</v>
      </c>
      <c r="H279" s="17">
        <f t="shared" ref="H279:O279" si="173">SUM(H277:H278)</f>
        <v>9053</v>
      </c>
      <c r="I279" s="17">
        <f t="shared" si="173"/>
        <v>8835</v>
      </c>
      <c r="J279" s="17">
        <f t="shared" si="173"/>
        <v>8613</v>
      </c>
      <c r="K279" s="17">
        <f t="shared" si="173"/>
        <v>8388</v>
      </c>
      <c r="L279" s="17">
        <f t="shared" si="173"/>
        <v>6147</v>
      </c>
      <c r="M279" s="17">
        <f t="shared" si="173"/>
        <v>0</v>
      </c>
      <c r="N279" s="17">
        <f t="shared" si="173"/>
        <v>0</v>
      </c>
      <c r="O279" s="17">
        <f t="shared" si="173"/>
        <v>0</v>
      </c>
      <c r="P279" s="18">
        <f t="shared" si="168"/>
        <v>41036</v>
      </c>
    </row>
    <row r="280" spans="1:16" ht="16.5" customHeight="1" x14ac:dyDescent="0.25">
      <c r="A280" s="149">
        <f t="shared" si="163"/>
        <v>91</v>
      </c>
      <c r="B280" s="134" t="s">
        <v>8</v>
      </c>
      <c r="C280" s="145" t="s">
        <v>338</v>
      </c>
      <c r="D280" s="136">
        <v>44169</v>
      </c>
      <c r="E280" s="144" t="s">
        <v>339</v>
      </c>
      <c r="F280" s="24" t="s">
        <v>340</v>
      </c>
      <c r="G280" s="12" t="s">
        <v>12</v>
      </c>
      <c r="H280" s="13">
        <v>25496</v>
      </c>
      <c r="I280" s="13">
        <v>25496</v>
      </c>
      <c r="J280" s="13">
        <v>25496</v>
      </c>
      <c r="K280" s="13">
        <v>25496</v>
      </c>
      <c r="L280" s="13">
        <v>25496</v>
      </c>
      <c r="M280" s="13">
        <v>25496</v>
      </c>
      <c r="N280" s="13">
        <v>25496</v>
      </c>
      <c r="O280" s="13">
        <f>150936-25156+1679-25496-25496</f>
        <v>76467</v>
      </c>
      <c r="P280" s="13">
        <f t="shared" si="168"/>
        <v>254939</v>
      </c>
    </row>
    <row r="281" spans="1:16" ht="16.5" customHeight="1" x14ac:dyDescent="0.25">
      <c r="A281" s="150"/>
      <c r="B281" s="134"/>
      <c r="C281" s="135"/>
      <c r="D281" s="136"/>
      <c r="E281" s="144"/>
      <c r="F281" s="21" t="s">
        <v>341</v>
      </c>
      <c r="G281" s="14" t="s">
        <v>316</v>
      </c>
      <c r="H281" s="15">
        <v>7159</v>
      </c>
      <c r="I281" s="15">
        <v>6371</v>
      </c>
      <c r="J281" s="15">
        <v>5662</v>
      </c>
      <c r="K281" s="31">
        <v>4926</v>
      </c>
      <c r="L281" s="31">
        <v>4206</v>
      </c>
      <c r="M281" s="31">
        <v>3487</v>
      </c>
      <c r="N281" s="31">
        <v>2776</v>
      </c>
      <c r="O281" s="31">
        <v>4004</v>
      </c>
      <c r="P281" s="15">
        <f t="shared" si="168"/>
        <v>38591</v>
      </c>
    </row>
    <row r="282" spans="1:16" ht="16.5" customHeight="1" x14ac:dyDescent="0.25">
      <c r="A282" s="151"/>
      <c r="B282" s="134"/>
      <c r="C282" s="135"/>
      <c r="D282" s="136"/>
      <c r="E282" s="144"/>
      <c r="F282" s="16"/>
      <c r="G282" s="16" t="s">
        <v>14</v>
      </c>
      <c r="H282" s="17">
        <f t="shared" ref="H282:O282" si="174">SUM(H280:H281)</f>
        <v>32655</v>
      </c>
      <c r="I282" s="17">
        <f t="shared" si="174"/>
        <v>31867</v>
      </c>
      <c r="J282" s="17">
        <f t="shared" si="174"/>
        <v>31158</v>
      </c>
      <c r="K282" s="17">
        <f t="shared" si="174"/>
        <v>30422</v>
      </c>
      <c r="L282" s="17">
        <f t="shared" si="174"/>
        <v>29702</v>
      </c>
      <c r="M282" s="17">
        <f t="shared" si="174"/>
        <v>28983</v>
      </c>
      <c r="N282" s="17">
        <f t="shared" si="174"/>
        <v>28272</v>
      </c>
      <c r="O282" s="17">
        <f t="shared" si="174"/>
        <v>80471</v>
      </c>
      <c r="P282" s="18">
        <f t="shared" si="168"/>
        <v>293530</v>
      </c>
    </row>
    <row r="283" spans="1:16" ht="16.5" customHeight="1" x14ac:dyDescent="0.25">
      <c r="A283" s="149">
        <f t="shared" si="163"/>
        <v>92</v>
      </c>
      <c r="B283" s="134" t="s">
        <v>8</v>
      </c>
      <c r="C283" s="145" t="s">
        <v>342</v>
      </c>
      <c r="D283" s="136">
        <v>44169</v>
      </c>
      <c r="E283" s="144" t="s">
        <v>343</v>
      </c>
      <c r="F283" s="24" t="s">
        <v>344</v>
      </c>
      <c r="G283" s="12" t="s">
        <v>12</v>
      </c>
      <c r="H283" s="28">
        <v>36000</v>
      </c>
      <c r="I283" s="28">
        <v>36000</v>
      </c>
      <c r="J283" s="28">
        <v>36000</v>
      </c>
      <c r="K283" s="28">
        <v>36000</v>
      </c>
      <c r="L283" s="28">
        <v>36000</v>
      </c>
      <c r="M283" s="28">
        <v>36000</v>
      </c>
      <c r="N283" s="28">
        <v>36000</v>
      </c>
      <c r="O283" s="28">
        <f>392217-35656+3393-36000-36000</f>
        <v>287954</v>
      </c>
      <c r="P283" s="13">
        <f t="shared" si="168"/>
        <v>539954</v>
      </c>
    </row>
    <row r="284" spans="1:16" ht="16.5" customHeight="1" x14ac:dyDescent="0.25">
      <c r="A284" s="150"/>
      <c r="B284" s="134"/>
      <c r="C284" s="135"/>
      <c r="D284" s="136"/>
      <c r="E284" s="144"/>
      <c r="F284" s="21" t="s">
        <v>345</v>
      </c>
      <c r="G284" s="14" t="s">
        <v>316</v>
      </c>
      <c r="H284" s="15">
        <v>15688</v>
      </c>
      <c r="I284" s="22">
        <v>14500</v>
      </c>
      <c r="J284" s="22">
        <v>13480</v>
      </c>
      <c r="K284" s="30">
        <v>12396</v>
      </c>
      <c r="L284" s="30">
        <v>11350</v>
      </c>
      <c r="M284" s="30">
        <v>10304</v>
      </c>
      <c r="N284" s="30">
        <v>9285</v>
      </c>
      <c r="O284" s="30">
        <v>36423</v>
      </c>
      <c r="P284" s="15">
        <f t="shared" si="168"/>
        <v>123426</v>
      </c>
    </row>
    <row r="285" spans="1:16" ht="16.5" customHeight="1" x14ac:dyDescent="0.25">
      <c r="A285" s="151"/>
      <c r="B285" s="134"/>
      <c r="C285" s="135"/>
      <c r="D285" s="136"/>
      <c r="E285" s="144"/>
      <c r="F285" s="16"/>
      <c r="G285" s="16" t="s">
        <v>14</v>
      </c>
      <c r="H285" s="17">
        <f t="shared" ref="H285:N285" si="175">SUM(H283:H284)</f>
        <v>51688</v>
      </c>
      <c r="I285" s="17">
        <f t="shared" si="175"/>
        <v>50500</v>
      </c>
      <c r="J285" s="17">
        <f t="shared" si="175"/>
        <v>49480</v>
      </c>
      <c r="K285" s="17">
        <f t="shared" si="175"/>
        <v>48396</v>
      </c>
      <c r="L285" s="17">
        <f t="shared" si="175"/>
        <v>47350</v>
      </c>
      <c r="M285" s="17">
        <f t="shared" si="175"/>
        <v>46304</v>
      </c>
      <c r="N285" s="17">
        <f t="shared" si="175"/>
        <v>45285</v>
      </c>
      <c r="O285" s="17">
        <f>SUM(O283:O284)</f>
        <v>324377</v>
      </c>
      <c r="P285" s="18">
        <f t="shared" si="168"/>
        <v>663380</v>
      </c>
    </row>
    <row r="286" spans="1:16" ht="16.149999999999999" customHeight="1" x14ac:dyDescent="0.25">
      <c r="A286" s="149">
        <f t="shared" si="163"/>
        <v>93</v>
      </c>
      <c r="B286" s="134" t="s">
        <v>8</v>
      </c>
      <c r="C286" s="135" t="s">
        <v>346</v>
      </c>
      <c r="D286" s="136">
        <v>44176</v>
      </c>
      <c r="E286" s="144" t="s">
        <v>339</v>
      </c>
      <c r="F286" s="24" t="s">
        <v>347</v>
      </c>
      <c r="G286" s="12" t="s">
        <v>12</v>
      </c>
      <c r="H286" s="13">
        <v>5544</v>
      </c>
      <c r="I286" s="13">
        <v>5544</v>
      </c>
      <c r="J286" s="13">
        <v>5544</v>
      </c>
      <c r="K286" s="13">
        <v>5544</v>
      </c>
      <c r="L286" s="13">
        <v>5544</v>
      </c>
      <c r="M286" s="13">
        <v>5544</v>
      </c>
      <c r="N286" s="13">
        <v>5544</v>
      </c>
      <c r="O286" s="13">
        <f>32856-5476+315-5544-5544</f>
        <v>16607</v>
      </c>
      <c r="P286" s="13">
        <f t="shared" si="168"/>
        <v>55415</v>
      </c>
    </row>
    <row r="287" spans="1:16" ht="16.149999999999999" customHeight="1" x14ac:dyDescent="0.25">
      <c r="A287" s="150"/>
      <c r="B287" s="134"/>
      <c r="C287" s="135"/>
      <c r="D287" s="136"/>
      <c r="E287" s="144"/>
      <c r="F287" s="21" t="s">
        <v>348</v>
      </c>
      <c r="G287" s="14" t="s">
        <v>316</v>
      </c>
      <c r="H287" s="15">
        <v>1573</v>
      </c>
      <c r="I287" s="15">
        <v>1381</v>
      </c>
      <c r="J287" s="15">
        <v>1224</v>
      </c>
      <c r="K287" s="31">
        <v>1065</v>
      </c>
      <c r="L287" s="31">
        <v>909</v>
      </c>
      <c r="M287" s="31">
        <v>754</v>
      </c>
      <c r="N287" s="31">
        <v>600</v>
      </c>
      <c r="O287" s="31">
        <v>864</v>
      </c>
      <c r="P287" s="15">
        <f t="shared" si="168"/>
        <v>8370</v>
      </c>
    </row>
    <row r="288" spans="1:16" ht="16.149999999999999" customHeight="1" x14ac:dyDescent="0.25">
      <c r="A288" s="151"/>
      <c r="B288" s="134"/>
      <c r="C288" s="135"/>
      <c r="D288" s="136"/>
      <c r="E288" s="144"/>
      <c r="F288" s="16"/>
      <c r="G288" s="16" t="s">
        <v>14</v>
      </c>
      <c r="H288" s="17">
        <f t="shared" ref="H288:N288" si="176">SUM(H286:H287)</f>
        <v>7117</v>
      </c>
      <c r="I288" s="17">
        <f t="shared" si="176"/>
        <v>6925</v>
      </c>
      <c r="J288" s="17">
        <f t="shared" si="176"/>
        <v>6768</v>
      </c>
      <c r="K288" s="17">
        <f t="shared" si="176"/>
        <v>6609</v>
      </c>
      <c r="L288" s="17">
        <f t="shared" si="176"/>
        <v>6453</v>
      </c>
      <c r="M288" s="17">
        <f t="shared" si="176"/>
        <v>6298</v>
      </c>
      <c r="N288" s="17">
        <f t="shared" si="176"/>
        <v>6144</v>
      </c>
      <c r="O288" s="17">
        <f>SUM(O286:O287)</f>
        <v>17471</v>
      </c>
      <c r="P288" s="18">
        <f t="shared" si="168"/>
        <v>63785</v>
      </c>
    </row>
    <row r="289" spans="1:17" ht="16.149999999999999" customHeight="1" x14ac:dyDescent="0.25">
      <c r="A289" s="149">
        <f t="shared" si="163"/>
        <v>94</v>
      </c>
      <c r="B289" s="134" t="s">
        <v>8</v>
      </c>
      <c r="C289" s="135" t="s">
        <v>349</v>
      </c>
      <c r="D289" s="136">
        <v>44182</v>
      </c>
      <c r="E289" s="144" t="s">
        <v>350</v>
      </c>
      <c r="F289" s="24" t="s">
        <v>351</v>
      </c>
      <c r="G289" s="12" t="s">
        <v>12</v>
      </c>
      <c r="H289" s="13">
        <v>13460</v>
      </c>
      <c r="I289" s="13">
        <v>13460</v>
      </c>
      <c r="J289" s="13">
        <v>13460</v>
      </c>
      <c r="K289" s="13">
        <v>13460</v>
      </c>
      <c r="L289" s="13">
        <v>13460</v>
      </c>
      <c r="M289" s="13">
        <v>0</v>
      </c>
      <c r="N289" s="13">
        <v>0</v>
      </c>
      <c r="O289" s="13">
        <v>0</v>
      </c>
      <c r="P289" s="13">
        <f t="shared" si="168"/>
        <v>67300</v>
      </c>
    </row>
    <row r="290" spans="1:17" ht="16.149999999999999" customHeight="1" x14ac:dyDescent="0.25">
      <c r="A290" s="150"/>
      <c r="B290" s="134"/>
      <c r="C290" s="135"/>
      <c r="D290" s="136"/>
      <c r="E290" s="144"/>
      <c r="F290" s="21" t="s">
        <v>352</v>
      </c>
      <c r="G290" s="14" t="s">
        <v>316</v>
      </c>
      <c r="H290" s="15">
        <v>165</v>
      </c>
      <c r="I290" s="15">
        <v>131</v>
      </c>
      <c r="J290" s="15">
        <v>97</v>
      </c>
      <c r="K290" s="31">
        <v>63</v>
      </c>
      <c r="L290" s="31">
        <v>29</v>
      </c>
      <c r="M290" s="31">
        <v>1</v>
      </c>
      <c r="N290" s="15">
        <v>0</v>
      </c>
      <c r="O290" s="31">
        <v>0</v>
      </c>
      <c r="P290" s="15">
        <f t="shared" si="168"/>
        <v>486</v>
      </c>
    </row>
    <row r="291" spans="1:17" ht="16.149999999999999" customHeight="1" x14ac:dyDescent="0.25">
      <c r="A291" s="151"/>
      <c r="B291" s="134"/>
      <c r="C291" s="135"/>
      <c r="D291" s="136"/>
      <c r="E291" s="144"/>
      <c r="F291" s="16"/>
      <c r="G291" s="16" t="s">
        <v>14</v>
      </c>
      <c r="H291" s="17">
        <f t="shared" ref="H291:O291" si="177">SUM(H289:H290)</f>
        <v>13625</v>
      </c>
      <c r="I291" s="17">
        <f t="shared" si="177"/>
        <v>13591</v>
      </c>
      <c r="J291" s="17">
        <f t="shared" si="177"/>
        <v>13557</v>
      </c>
      <c r="K291" s="17">
        <f t="shared" si="177"/>
        <v>13523</v>
      </c>
      <c r="L291" s="17">
        <f t="shared" si="177"/>
        <v>13489</v>
      </c>
      <c r="M291" s="17">
        <f t="shared" si="177"/>
        <v>1</v>
      </c>
      <c r="N291" s="17">
        <f t="shared" si="177"/>
        <v>0</v>
      </c>
      <c r="O291" s="17">
        <f t="shared" si="177"/>
        <v>0</v>
      </c>
      <c r="P291" s="18">
        <f t="shared" si="168"/>
        <v>67786</v>
      </c>
    </row>
    <row r="292" spans="1:17" ht="16.149999999999999" customHeight="1" x14ac:dyDescent="0.25">
      <c r="A292" s="149">
        <f t="shared" si="163"/>
        <v>95</v>
      </c>
      <c r="B292" s="134" t="s">
        <v>8</v>
      </c>
      <c r="C292" s="135" t="s">
        <v>353</v>
      </c>
      <c r="D292" s="136">
        <v>44182</v>
      </c>
      <c r="E292" s="144" t="s">
        <v>350</v>
      </c>
      <c r="F292" s="24" t="s">
        <v>354</v>
      </c>
      <c r="G292" s="12" t="s">
        <v>12</v>
      </c>
      <c r="H292" s="28">
        <v>7628</v>
      </c>
      <c r="I292" s="28">
        <v>7628</v>
      </c>
      <c r="J292" s="28">
        <v>7628</v>
      </c>
      <c r="K292" s="28">
        <v>7628</v>
      </c>
      <c r="L292" s="28">
        <v>7628</v>
      </c>
      <c r="M292" s="28">
        <v>0</v>
      </c>
      <c r="N292" s="13">
        <v>0</v>
      </c>
      <c r="O292" s="28">
        <v>0</v>
      </c>
      <c r="P292" s="13">
        <f t="shared" si="168"/>
        <v>38140</v>
      </c>
    </row>
    <row r="293" spans="1:17" ht="16.149999999999999" customHeight="1" x14ac:dyDescent="0.25">
      <c r="A293" s="150"/>
      <c r="B293" s="134"/>
      <c r="C293" s="135"/>
      <c r="D293" s="136"/>
      <c r="E293" s="144"/>
      <c r="F293" s="21" t="s">
        <v>355</v>
      </c>
      <c r="G293" s="14" t="s">
        <v>316</v>
      </c>
      <c r="H293" s="15">
        <v>94</v>
      </c>
      <c r="I293" s="15">
        <v>74</v>
      </c>
      <c r="J293" s="15">
        <v>55</v>
      </c>
      <c r="K293" s="31">
        <v>36</v>
      </c>
      <c r="L293" s="31">
        <v>16</v>
      </c>
      <c r="M293" s="31">
        <v>1</v>
      </c>
      <c r="N293" s="15">
        <v>0</v>
      </c>
      <c r="O293" s="31">
        <v>0</v>
      </c>
      <c r="P293" s="15">
        <f t="shared" si="168"/>
        <v>276</v>
      </c>
    </row>
    <row r="294" spans="1:17" ht="16.149999999999999" customHeight="1" x14ac:dyDescent="0.25">
      <c r="A294" s="151"/>
      <c r="B294" s="134"/>
      <c r="C294" s="135"/>
      <c r="D294" s="136"/>
      <c r="E294" s="144"/>
      <c r="F294" s="16"/>
      <c r="G294" s="16" t="s">
        <v>14</v>
      </c>
      <c r="H294" s="17">
        <f t="shared" ref="H294:O294" si="178">SUM(H292:H293)</f>
        <v>7722</v>
      </c>
      <c r="I294" s="17">
        <f t="shared" si="178"/>
        <v>7702</v>
      </c>
      <c r="J294" s="17">
        <f t="shared" si="178"/>
        <v>7683</v>
      </c>
      <c r="K294" s="17">
        <f t="shared" si="178"/>
        <v>7664</v>
      </c>
      <c r="L294" s="17">
        <f t="shared" si="178"/>
        <v>7644</v>
      </c>
      <c r="M294" s="17">
        <f t="shared" si="178"/>
        <v>1</v>
      </c>
      <c r="N294" s="17">
        <f t="shared" si="178"/>
        <v>0</v>
      </c>
      <c r="O294" s="17">
        <f t="shared" si="178"/>
        <v>0</v>
      </c>
      <c r="P294" s="18">
        <f t="shared" si="168"/>
        <v>38416</v>
      </c>
    </row>
    <row r="295" spans="1:17" ht="16.149999999999999" customHeight="1" x14ac:dyDescent="0.25">
      <c r="A295" s="149">
        <f t="shared" si="163"/>
        <v>96</v>
      </c>
      <c r="B295" s="134" t="s">
        <v>8</v>
      </c>
      <c r="C295" s="145" t="s">
        <v>356</v>
      </c>
      <c r="D295" s="136">
        <v>44224</v>
      </c>
      <c r="E295" s="144" t="s">
        <v>357</v>
      </c>
      <c r="F295" s="24" t="s">
        <v>358</v>
      </c>
      <c r="G295" s="12" t="s">
        <v>12</v>
      </c>
      <c r="H295" s="13">
        <f>94448+1416</f>
        <v>95864</v>
      </c>
      <c r="I295" s="13">
        <f t="shared" ref="I295:L295" si="179">94448+1416</f>
        <v>95864</v>
      </c>
      <c r="J295" s="13">
        <f t="shared" si="179"/>
        <v>95864</v>
      </c>
      <c r="K295" s="13">
        <f t="shared" si="179"/>
        <v>95864</v>
      </c>
      <c r="L295" s="13">
        <f t="shared" si="179"/>
        <v>95864</v>
      </c>
      <c r="M295" s="13">
        <v>95864</v>
      </c>
      <c r="N295" s="13">
        <v>95864</v>
      </c>
      <c r="O295" s="13">
        <f>1109735-47195-94448+14475-95864-95864</f>
        <v>790839</v>
      </c>
      <c r="P295" s="13">
        <f t="shared" si="168"/>
        <v>1461887</v>
      </c>
    </row>
    <row r="296" spans="1:17" ht="16.149999999999999" customHeight="1" x14ac:dyDescent="0.25">
      <c r="A296" s="150"/>
      <c r="B296" s="134"/>
      <c r="C296" s="135"/>
      <c r="D296" s="136"/>
      <c r="E296" s="144"/>
      <c r="F296" s="21" t="s">
        <v>359</v>
      </c>
      <c r="G296" s="14" t="s">
        <v>316</v>
      </c>
      <c r="H296" s="22">
        <v>43113</v>
      </c>
      <c r="I296" s="22">
        <v>38950</v>
      </c>
      <c r="J296" s="15">
        <v>36279</v>
      </c>
      <c r="K296" s="31">
        <v>33415</v>
      </c>
      <c r="L296" s="31">
        <v>30652</v>
      </c>
      <c r="M296" s="31">
        <v>27893</v>
      </c>
      <c r="N296" s="31">
        <v>25205</v>
      </c>
      <c r="O296" s="31">
        <v>101965</v>
      </c>
      <c r="P296" s="15">
        <f t="shared" si="168"/>
        <v>337472</v>
      </c>
    </row>
    <row r="297" spans="1:17" ht="16.149999999999999" customHeight="1" x14ac:dyDescent="0.25">
      <c r="A297" s="151"/>
      <c r="B297" s="134"/>
      <c r="C297" s="135"/>
      <c r="D297" s="136"/>
      <c r="E297" s="144"/>
      <c r="F297" s="16"/>
      <c r="G297" s="16" t="s">
        <v>14</v>
      </c>
      <c r="H297" s="17">
        <f t="shared" ref="H297:O297" si="180">SUM(H295:H296)</f>
        <v>138977</v>
      </c>
      <c r="I297" s="17">
        <f t="shared" si="180"/>
        <v>134814</v>
      </c>
      <c r="J297" s="17">
        <f t="shared" si="180"/>
        <v>132143</v>
      </c>
      <c r="K297" s="17">
        <f t="shared" si="180"/>
        <v>129279</v>
      </c>
      <c r="L297" s="17">
        <f t="shared" si="180"/>
        <v>126516</v>
      </c>
      <c r="M297" s="17">
        <f t="shared" si="180"/>
        <v>123757</v>
      </c>
      <c r="N297" s="17">
        <f t="shared" si="180"/>
        <v>121069</v>
      </c>
      <c r="O297" s="17">
        <f t="shared" si="180"/>
        <v>892804</v>
      </c>
      <c r="P297" s="18">
        <f t="shared" si="168"/>
        <v>1799359</v>
      </c>
    </row>
    <row r="298" spans="1:17" ht="16.149999999999999" customHeight="1" x14ac:dyDescent="0.25">
      <c r="A298" s="149">
        <f t="shared" si="163"/>
        <v>97</v>
      </c>
      <c r="B298" s="134" t="s">
        <v>8</v>
      </c>
      <c r="C298" s="145" t="s">
        <v>360</v>
      </c>
      <c r="D298" s="136">
        <v>44237</v>
      </c>
      <c r="E298" s="144" t="s">
        <v>361</v>
      </c>
      <c r="F298" s="24" t="s">
        <v>362</v>
      </c>
      <c r="G298" s="12" t="s">
        <v>12</v>
      </c>
      <c r="H298" s="13">
        <v>942836</v>
      </c>
      <c r="I298" s="13">
        <v>942836</v>
      </c>
      <c r="J298" s="13">
        <v>942836</v>
      </c>
      <c r="K298" s="13">
        <v>942836</v>
      </c>
      <c r="L298" s="13">
        <v>942836</v>
      </c>
      <c r="M298" s="13">
        <v>942836</v>
      </c>
      <c r="N298" s="13">
        <v>942836</v>
      </c>
      <c r="O298" s="13">
        <f>16970993-5657016-942836</f>
        <v>10371141</v>
      </c>
      <c r="P298" s="13">
        <f t="shared" si="168"/>
        <v>16970993</v>
      </c>
    </row>
    <row r="299" spans="1:17" ht="16.149999999999999" customHeight="1" x14ac:dyDescent="0.25">
      <c r="A299" s="150"/>
      <c r="B299" s="134"/>
      <c r="C299" s="135"/>
      <c r="D299" s="136"/>
      <c r="E299" s="144"/>
      <c r="F299" s="21" t="s">
        <v>363</v>
      </c>
      <c r="G299" s="14" t="s">
        <v>316</v>
      </c>
      <c r="H299" s="22">
        <v>480074</v>
      </c>
      <c r="I299" s="22">
        <v>446227</v>
      </c>
      <c r="J299" s="15">
        <v>420826</v>
      </c>
      <c r="K299" s="31">
        <v>393176</v>
      </c>
      <c r="L299" s="31">
        <v>366687</v>
      </c>
      <c r="M299" s="31">
        <v>340235</v>
      </c>
      <c r="N299" s="15">
        <v>314671</v>
      </c>
      <c r="O299" s="31">
        <v>1704685</v>
      </c>
      <c r="P299" s="15">
        <f t="shared" si="168"/>
        <v>4466581</v>
      </c>
      <c r="Q299" s="35"/>
    </row>
    <row r="300" spans="1:17" ht="15" customHeight="1" x14ac:dyDescent="0.25">
      <c r="A300" s="151"/>
      <c r="B300" s="134"/>
      <c r="C300" s="135"/>
      <c r="D300" s="136"/>
      <c r="E300" s="144"/>
      <c r="F300" s="16"/>
      <c r="G300" s="16" t="s">
        <v>14</v>
      </c>
      <c r="H300" s="17">
        <f t="shared" ref="H300:O300" si="181">SUM(H298:H299)</f>
        <v>1422910</v>
      </c>
      <c r="I300" s="17">
        <f t="shared" si="181"/>
        <v>1389063</v>
      </c>
      <c r="J300" s="17">
        <f t="shared" si="181"/>
        <v>1363662</v>
      </c>
      <c r="K300" s="17">
        <f t="shared" si="181"/>
        <v>1336012</v>
      </c>
      <c r="L300" s="17">
        <f t="shared" si="181"/>
        <v>1309523</v>
      </c>
      <c r="M300" s="17">
        <f t="shared" si="181"/>
        <v>1283071</v>
      </c>
      <c r="N300" s="17">
        <f t="shared" si="181"/>
        <v>1257507</v>
      </c>
      <c r="O300" s="17">
        <f t="shared" si="181"/>
        <v>12075826</v>
      </c>
      <c r="P300" s="18">
        <f t="shared" si="168"/>
        <v>21437574</v>
      </c>
      <c r="Q300" s="36"/>
    </row>
    <row r="301" spans="1:17" ht="15.75" customHeight="1" x14ac:dyDescent="0.25">
      <c r="A301" s="149">
        <f t="shared" si="163"/>
        <v>98</v>
      </c>
      <c r="B301" s="134" t="s">
        <v>8</v>
      </c>
      <c r="C301" s="145" t="s">
        <v>727</v>
      </c>
      <c r="D301" s="136">
        <v>44251</v>
      </c>
      <c r="E301" s="144" t="s">
        <v>364</v>
      </c>
      <c r="F301" s="24" t="s">
        <v>365</v>
      </c>
      <c r="G301" s="12" t="s">
        <v>12</v>
      </c>
      <c r="H301" s="13">
        <v>25892</v>
      </c>
      <c r="I301" s="13">
        <v>25892</v>
      </c>
      <c r="J301" s="13">
        <v>25892</v>
      </c>
      <c r="K301" s="13">
        <v>25892</v>
      </c>
      <c r="L301" s="13">
        <v>25892</v>
      </c>
      <c r="M301" s="13">
        <v>25892</v>
      </c>
      <c r="N301" s="13">
        <v>25892</v>
      </c>
      <c r="O301" s="13">
        <f>286695-25484+4131-25892-25892</f>
        <v>213558</v>
      </c>
      <c r="P301" s="13">
        <f t="shared" si="168"/>
        <v>394802</v>
      </c>
    </row>
    <row r="302" spans="1:17" ht="15.75" customHeight="1" x14ac:dyDescent="0.25">
      <c r="A302" s="150"/>
      <c r="B302" s="134"/>
      <c r="C302" s="145"/>
      <c r="D302" s="136"/>
      <c r="E302" s="144"/>
      <c r="F302" s="21" t="s">
        <v>366</v>
      </c>
      <c r="G302" s="14" t="s">
        <v>316</v>
      </c>
      <c r="H302" s="22">
        <v>11107</v>
      </c>
      <c r="I302" s="22">
        <v>10038</v>
      </c>
      <c r="J302" s="15">
        <v>9349</v>
      </c>
      <c r="K302" s="31">
        <v>8611</v>
      </c>
      <c r="L302" s="31">
        <v>7899</v>
      </c>
      <c r="M302" s="31">
        <v>7188</v>
      </c>
      <c r="N302" s="31">
        <v>6495</v>
      </c>
      <c r="O302" s="31">
        <v>26286</v>
      </c>
      <c r="P302" s="15">
        <f t="shared" si="168"/>
        <v>86973</v>
      </c>
    </row>
    <row r="303" spans="1:17" ht="15.75" customHeight="1" x14ac:dyDescent="0.25">
      <c r="A303" s="151"/>
      <c r="B303" s="134"/>
      <c r="C303" s="145"/>
      <c r="D303" s="136"/>
      <c r="E303" s="144"/>
      <c r="F303" s="16"/>
      <c r="G303" s="16" t="s">
        <v>14</v>
      </c>
      <c r="H303" s="17">
        <f t="shared" ref="H303:O303" si="182">SUM(H301:H302)</f>
        <v>36999</v>
      </c>
      <c r="I303" s="17">
        <f t="shared" si="182"/>
        <v>35930</v>
      </c>
      <c r="J303" s="17">
        <f t="shared" si="182"/>
        <v>35241</v>
      </c>
      <c r="K303" s="17">
        <f t="shared" si="182"/>
        <v>34503</v>
      </c>
      <c r="L303" s="17">
        <f t="shared" si="182"/>
        <v>33791</v>
      </c>
      <c r="M303" s="17">
        <f t="shared" si="182"/>
        <v>33080</v>
      </c>
      <c r="N303" s="17">
        <f t="shared" si="182"/>
        <v>32387</v>
      </c>
      <c r="O303" s="17">
        <f t="shared" si="182"/>
        <v>239844</v>
      </c>
      <c r="P303" s="18">
        <f t="shared" si="168"/>
        <v>481775</v>
      </c>
    </row>
    <row r="304" spans="1:17" ht="15.75" customHeight="1" x14ac:dyDescent="0.25">
      <c r="A304" s="149">
        <f t="shared" si="163"/>
        <v>99</v>
      </c>
      <c r="B304" s="134" t="s">
        <v>8</v>
      </c>
      <c r="C304" s="145" t="s">
        <v>367</v>
      </c>
      <c r="D304" s="136">
        <v>44280</v>
      </c>
      <c r="E304" s="144" t="s">
        <v>368</v>
      </c>
      <c r="F304" s="24" t="s">
        <v>369</v>
      </c>
      <c r="G304" s="12" t="s">
        <v>12</v>
      </c>
      <c r="H304" s="13">
        <v>3064</v>
      </c>
      <c r="I304" s="13">
        <v>3064</v>
      </c>
      <c r="J304" s="13">
        <v>3064</v>
      </c>
      <c r="K304" s="13">
        <v>3064</v>
      </c>
      <c r="L304" s="13">
        <v>3064</v>
      </c>
      <c r="M304" s="13">
        <v>3064</v>
      </c>
      <c r="N304" s="13">
        <v>3064</v>
      </c>
      <c r="O304" s="13">
        <f>18775-3004+279-3064-3064</f>
        <v>9922</v>
      </c>
      <c r="P304" s="13">
        <f t="shared" si="168"/>
        <v>31370</v>
      </c>
    </row>
    <row r="305" spans="1:16" ht="15.75" customHeight="1" x14ac:dyDescent="0.25">
      <c r="A305" s="150"/>
      <c r="B305" s="134"/>
      <c r="C305" s="145"/>
      <c r="D305" s="136"/>
      <c r="E305" s="144"/>
      <c r="F305" s="21" t="s">
        <v>370</v>
      </c>
      <c r="G305" s="14" t="s">
        <v>316</v>
      </c>
      <c r="H305" s="22">
        <v>845</v>
      </c>
      <c r="I305" s="22">
        <v>744</v>
      </c>
      <c r="J305" s="15">
        <v>664</v>
      </c>
      <c r="K305" s="15">
        <v>580</v>
      </c>
      <c r="L305" s="15">
        <v>498</v>
      </c>
      <c r="M305" s="15">
        <v>416</v>
      </c>
      <c r="N305" s="15">
        <v>335</v>
      </c>
      <c r="O305" s="15">
        <v>525</v>
      </c>
      <c r="P305" s="15">
        <f t="shared" si="168"/>
        <v>4607</v>
      </c>
    </row>
    <row r="306" spans="1:16" ht="15.75" customHeight="1" x14ac:dyDescent="0.25">
      <c r="A306" s="151"/>
      <c r="B306" s="134"/>
      <c r="C306" s="145"/>
      <c r="D306" s="136"/>
      <c r="E306" s="144"/>
      <c r="F306" s="16"/>
      <c r="G306" s="16" t="s">
        <v>14</v>
      </c>
      <c r="H306" s="17">
        <f t="shared" ref="H306:O306" si="183">SUM(H304:H305)</f>
        <v>3909</v>
      </c>
      <c r="I306" s="17">
        <f t="shared" si="183"/>
        <v>3808</v>
      </c>
      <c r="J306" s="17">
        <f t="shared" si="183"/>
        <v>3728</v>
      </c>
      <c r="K306" s="17">
        <f t="shared" si="183"/>
        <v>3644</v>
      </c>
      <c r="L306" s="17">
        <f t="shared" si="183"/>
        <v>3562</v>
      </c>
      <c r="M306" s="17">
        <f t="shared" si="183"/>
        <v>3480</v>
      </c>
      <c r="N306" s="17">
        <f t="shared" si="183"/>
        <v>3399</v>
      </c>
      <c r="O306" s="17">
        <f t="shared" si="183"/>
        <v>10447</v>
      </c>
      <c r="P306" s="18">
        <f t="shared" si="168"/>
        <v>35977</v>
      </c>
    </row>
    <row r="307" spans="1:16" ht="24" customHeight="1" x14ac:dyDescent="0.25">
      <c r="A307" s="149">
        <f t="shared" si="163"/>
        <v>100</v>
      </c>
      <c r="B307" s="134" t="s">
        <v>8</v>
      </c>
      <c r="C307" s="163" t="s">
        <v>729</v>
      </c>
      <c r="D307" s="136">
        <v>44315</v>
      </c>
      <c r="E307" s="144" t="s">
        <v>371</v>
      </c>
      <c r="F307" s="24" t="s">
        <v>372</v>
      </c>
      <c r="G307" s="12" t="s">
        <v>12</v>
      </c>
      <c r="H307" s="13">
        <v>20028</v>
      </c>
      <c r="I307" s="13">
        <v>20028</v>
      </c>
      <c r="J307" s="13">
        <v>20028</v>
      </c>
      <c r="K307" s="13">
        <v>20028</v>
      </c>
      <c r="L307" s="13">
        <v>20028</v>
      </c>
      <c r="M307" s="13">
        <v>20028</v>
      </c>
      <c r="N307" s="13">
        <v>20028</v>
      </c>
      <c r="O307" s="13">
        <f>225446-19604+4404-20028-20028</f>
        <v>170190</v>
      </c>
      <c r="P307" s="13">
        <f t="shared" si="168"/>
        <v>310386</v>
      </c>
    </row>
    <row r="308" spans="1:16" ht="18" customHeight="1" x14ac:dyDescent="0.25">
      <c r="A308" s="150"/>
      <c r="B308" s="134"/>
      <c r="C308" s="163"/>
      <c r="D308" s="136"/>
      <c r="E308" s="144"/>
      <c r="F308" s="21" t="s">
        <v>373</v>
      </c>
      <c r="G308" s="14" t="s">
        <v>316</v>
      </c>
      <c r="H308" s="22">
        <v>8055</v>
      </c>
      <c r="I308" s="22">
        <v>7829</v>
      </c>
      <c r="J308" s="15">
        <v>7302</v>
      </c>
      <c r="K308" s="31">
        <v>6736</v>
      </c>
      <c r="L308" s="31">
        <v>6190</v>
      </c>
      <c r="M308" s="31">
        <v>5645</v>
      </c>
      <c r="N308" s="31">
        <v>5114</v>
      </c>
      <c r="O308" s="31">
        <v>21322</v>
      </c>
      <c r="P308" s="15">
        <f t="shared" si="168"/>
        <v>68193</v>
      </c>
    </row>
    <row r="309" spans="1:16" ht="40.5" customHeight="1" x14ac:dyDescent="0.25">
      <c r="A309" s="151"/>
      <c r="B309" s="134"/>
      <c r="C309" s="163"/>
      <c r="D309" s="136"/>
      <c r="E309" s="144"/>
      <c r="F309" s="16"/>
      <c r="G309" s="16" t="s">
        <v>14</v>
      </c>
      <c r="H309" s="17">
        <f t="shared" ref="H309:O309" si="184">SUM(H307:H308)</f>
        <v>28083</v>
      </c>
      <c r="I309" s="17">
        <f t="shared" si="184"/>
        <v>27857</v>
      </c>
      <c r="J309" s="17">
        <f t="shared" si="184"/>
        <v>27330</v>
      </c>
      <c r="K309" s="17">
        <f t="shared" si="184"/>
        <v>26764</v>
      </c>
      <c r="L309" s="17">
        <f t="shared" si="184"/>
        <v>26218</v>
      </c>
      <c r="M309" s="17">
        <f t="shared" si="184"/>
        <v>25673</v>
      </c>
      <c r="N309" s="17">
        <f t="shared" si="184"/>
        <v>25142</v>
      </c>
      <c r="O309" s="17">
        <f t="shared" si="184"/>
        <v>191512</v>
      </c>
      <c r="P309" s="18">
        <f t="shared" si="168"/>
        <v>378579</v>
      </c>
    </row>
    <row r="310" spans="1:16" ht="15.75" customHeight="1" x14ac:dyDescent="0.25">
      <c r="A310" s="149">
        <f t="shared" si="163"/>
        <v>101</v>
      </c>
      <c r="B310" s="134" t="s">
        <v>8</v>
      </c>
      <c r="C310" s="145" t="s">
        <v>728</v>
      </c>
      <c r="D310" s="136">
        <v>44326</v>
      </c>
      <c r="E310" s="144" t="s">
        <v>31</v>
      </c>
      <c r="F310" s="24" t="s">
        <v>374</v>
      </c>
      <c r="G310" s="12" t="s">
        <v>12</v>
      </c>
      <c r="H310" s="13">
        <v>44236</v>
      </c>
      <c r="I310" s="13">
        <f>21622+495</f>
        <v>22117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f t="shared" si="168"/>
        <v>66353</v>
      </c>
    </row>
    <row r="311" spans="1:16" ht="15.75" customHeight="1" x14ac:dyDescent="0.25">
      <c r="A311" s="150"/>
      <c r="B311" s="134"/>
      <c r="C311" s="135"/>
      <c r="D311" s="136"/>
      <c r="E311" s="144"/>
      <c r="F311" s="21" t="s">
        <v>375</v>
      </c>
      <c r="G311" s="14" t="s">
        <v>13</v>
      </c>
      <c r="H311" s="22">
        <f>1411+154</f>
        <v>1565</v>
      </c>
      <c r="I311" s="22">
        <f>334+37</f>
        <v>371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f t="shared" si="168"/>
        <v>1936</v>
      </c>
    </row>
    <row r="312" spans="1:16" ht="15.75" customHeight="1" x14ac:dyDescent="0.25">
      <c r="A312" s="151"/>
      <c r="B312" s="134"/>
      <c r="C312" s="135"/>
      <c r="D312" s="136"/>
      <c r="E312" s="144"/>
      <c r="F312" s="16"/>
      <c r="G312" s="16" t="s">
        <v>14</v>
      </c>
      <c r="H312" s="17">
        <f t="shared" ref="H312:O312" si="185">SUM(H310:H311)</f>
        <v>45801</v>
      </c>
      <c r="I312" s="17">
        <f t="shared" si="185"/>
        <v>22488</v>
      </c>
      <c r="J312" s="17">
        <f t="shared" si="185"/>
        <v>0</v>
      </c>
      <c r="K312" s="17">
        <f t="shared" si="185"/>
        <v>0</v>
      </c>
      <c r="L312" s="17">
        <f>SUM(L310:L311)</f>
        <v>0</v>
      </c>
      <c r="M312" s="17">
        <f t="shared" ref="M312:N312" si="186">SUM(M310:M311)</f>
        <v>0</v>
      </c>
      <c r="N312" s="17">
        <f t="shared" si="186"/>
        <v>0</v>
      </c>
      <c r="O312" s="17">
        <f t="shared" si="185"/>
        <v>0</v>
      </c>
      <c r="P312" s="18">
        <f t="shared" si="168"/>
        <v>68289</v>
      </c>
    </row>
    <row r="313" spans="1:16" ht="15.75" customHeight="1" x14ac:dyDescent="0.25">
      <c r="A313" s="149">
        <f t="shared" si="163"/>
        <v>102</v>
      </c>
      <c r="B313" s="134" t="s">
        <v>8</v>
      </c>
      <c r="C313" s="135" t="s">
        <v>376</v>
      </c>
      <c r="D313" s="136">
        <v>44358</v>
      </c>
      <c r="E313" s="144" t="s">
        <v>377</v>
      </c>
      <c r="F313" s="24" t="s">
        <v>378</v>
      </c>
      <c r="G313" s="12" t="s">
        <v>12</v>
      </c>
      <c r="H313" s="13">
        <v>16112</v>
      </c>
      <c r="I313" s="13">
        <v>16112</v>
      </c>
      <c r="J313" s="13">
        <v>16112</v>
      </c>
      <c r="K313" s="13">
        <v>16112</v>
      </c>
      <c r="L313" s="13">
        <v>16112</v>
      </c>
      <c r="M313" s="13">
        <v>8041</v>
      </c>
      <c r="N313" s="13">
        <v>0</v>
      </c>
      <c r="O313" s="13">
        <v>0</v>
      </c>
      <c r="P313" s="13">
        <f t="shared" si="168"/>
        <v>88601</v>
      </c>
    </row>
    <row r="314" spans="1:16" ht="15.75" customHeight="1" x14ac:dyDescent="0.25">
      <c r="A314" s="150"/>
      <c r="B314" s="134"/>
      <c r="C314" s="135"/>
      <c r="D314" s="136"/>
      <c r="E314" s="144"/>
      <c r="F314" s="21" t="s">
        <v>379</v>
      </c>
      <c r="G314" s="14" t="s">
        <v>316</v>
      </c>
      <c r="H314" s="15">
        <v>2185</v>
      </c>
      <c r="I314" s="15">
        <v>1855</v>
      </c>
      <c r="J314" s="31">
        <v>1431</v>
      </c>
      <c r="K314" s="31">
        <v>1000</v>
      </c>
      <c r="L314" s="31">
        <v>573</v>
      </c>
      <c r="M314" s="31">
        <v>140</v>
      </c>
      <c r="N314" s="31">
        <v>0</v>
      </c>
      <c r="O314" s="31">
        <v>0</v>
      </c>
      <c r="P314" s="15">
        <f t="shared" si="168"/>
        <v>7184</v>
      </c>
    </row>
    <row r="315" spans="1:16" ht="15.75" customHeight="1" x14ac:dyDescent="0.25">
      <c r="A315" s="151"/>
      <c r="B315" s="134"/>
      <c r="C315" s="135"/>
      <c r="D315" s="136"/>
      <c r="E315" s="144"/>
      <c r="F315" s="16"/>
      <c r="G315" s="16" t="s">
        <v>14</v>
      </c>
      <c r="H315" s="17">
        <f t="shared" ref="H315:O315" si="187">SUM(H313:H314)</f>
        <v>18297</v>
      </c>
      <c r="I315" s="17">
        <f t="shared" si="187"/>
        <v>17967</v>
      </c>
      <c r="J315" s="17">
        <f t="shared" si="187"/>
        <v>17543</v>
      </c>
      <c r="K315" s="17">
        <f t="shared" si="187"/>
        <v>17112</v>
      </c>
      <c r="L315" s="17">
        <f t="shared" si="187"/>
        <v>16685</v>
      </c>
      <c r="M315" s="17">
        <f t="shared" si="187"/>
        <v>8181</v>
      </c>
      <c r="N315" s="17">
        <f t="shared" si="187"/>
        <v>0</v>
      </c>
      <c r="O315" s="17">
        <f t="shared" si="187"/>
        <v>0</v>
      </c>
      <c r="P315" s="18">
        <f t="shared" si="168"/>
        <v>95785</v>
      </c>
    </row>
    <row r="316" spans="1:16" ht="15.75" customHeight="1" x14ac:dyDescent="0.25">
      <c r="A316" s="149">
        <f t="shared" ref="A316:A379" si="188">A313+1</f>
        <v>103</v>
      </c>
      <c r="B316" s="134" t="s">
        <v>8</v>
      </c>
      <c r="C316" s="135" t="s">
        <v>380</v>
      </c>
      <c r="D316" s="136">
        <v>44358</v>
      </c>
      <c r="E316" s="144" t="s">
        <v>381</v>
      </c>
      <c r="F316" s="24" t="s">
        <v>382</v>
      </c>
      <c r="G316" s="12" t="s">
        <v>12</v>
      </c>
      <c r="H316" s="13">
        <v>28252</v>
      </c>
      <c r="I316" s="13">
        <v>28252</v>
      </c>
      <c r="J316" s="13">
        <v>28252</v>
      </c>
      <c r="K316" s="13">
        <v>28252</v>
      </c>
      <c r="L316" s="13">
        <v>28252</v>
      </c>
      <c r="M316" s="13">
        <v>28252</v>
      </c>
      <c r="N316" s="13">
        <v>28252</v>
      </c>
      <c r="O316" s="13">
        <f>317768-27632+6473-28252-28252</f>
        <v>240105</v>
      </c>
      <c r="P316" s="13">
        <f t="shared" si="168"/>
        <v>437869</v>
      </c>
    </row>
    <row r="317" spans="1:16" ht="15.75" customHeight="1" x14ac:dyDescent="0.25">
      <c r="A317" s="150"/>
      <c r="B317" s="134"/>
      <c r="C317" s="135"/>
      <c r="D317" s="136"/>
      <c r="E317" s="144"/>
      <c r="F317" s="21" t="s">
        <v>383</v>
      </c>
      <c r="G317" s="14" t="s">
        <v>316</v>
      </c>
      <c r="H317" s="15">
        <v>11685</v>
      </c>
      <c r="I317" s="15">
        <v>11373</v>
      </c>
      <c r="J317" s="31">
        <v>10607</v>
      </c>
      <c r="K317" s="31">
        <v>9785</v>
      </c>
      <c r="L317" s="31">
        <v>8993</v>
      </c>
      <c r="M317" s="31">
        <v>8201</v>
      </c>
      <c r="N317" s="31">
        <v>7430</v>
      </c>
      <c r="O317" s="31">
        <v>30995</v>
      </c>
      <c r="P317" s="15">
        <f t="shared" si="168"/>
        <v>99069</v>
      </c>
    </row>
    <row r="318" spans="1:16" ht="15.75" customHeight="1" x14ac:dyDescent="0.25">
      <c r="A318" s="151"/>
      <c r="B318" s="134"/>
      <c r="C318" s="135"/>
      <c r="D318" s="136"/>
      <c r="E318" s="144"/>
      <c r="F318" s="16"/>
      <c r="G318" s="16" t="s">
        <v>14</v>
      </c>
      <c r="H318" s="17">
        <f t="shared" ref="H318:O318" si="189">SUM(H316:H317)</f>
        <v>39937</v>
      </c>
      <c r="I318" s="17">
        <f t="shared" si="189"/>
        <v>39625</v>
      </c>
      <c r="J318" s="17">
        <f t="shared" si="189"/>
        <v>38859</v>
      </c>
      <c r="K318" s="17">
        <f t="shared" si="189"/>
        <v>38037</v>
      </c>
      <c r="L318" s="17">
        <f t="shared" si="189"/>
        <v>37245</v>
      </c>
      <c r="M318" s="17">
        <f t="shared" si="189"/>
        <v>36453</v>
      </c>
      <c r="N318" s="17">
        <f t="shared" si="189"/>
        <v>35682</v>
      </c>
      <c r="O318" s="17">
        <f t="shared" si="189"/>
        <v>271100</v>
      </c>
      <c r="P318" s="18">
        <f t="shared" si="168"/>
        <v>536938</v>
      </c>
    </row>
    <row r="319" spans="1:16" ht="15.75" customHeight="1" x14ac:dyDescent="0.25">
      <c r="A319" s="149">
        <f t="shared" si="188"/>
        <v>104</v>
      </c>
      <c r="B319" s="134" t="s">
        <v>8</v>
      </c>
      <c r="C319" s="135" t="s">
        <v>730</v>
      </c>
      <c r="D319" s="136">
        <v>44375</v>
      </c>
      <c r="E319" s="165" t="s">
        <v>384</v>
      </c>
      <c r="F319" s="24" t="s">
        <v>385</v>
      </c>
      <c r="G319" s="12" t="s">
        <v>12</v>
      </c>
      <c r="H319" s="13">
        <v>28220</v>
      </c>
      <c r="I319" s="13">
        <v>28220</v>
      </c>
      <c r="J319" s="13">
        <v>28220</v>
      </c>
      <c r="K319" s="13">
        <v>28220</v>
      </c>
      <c r="L319" s="13">
        <v>28220</v>
      </c>
      <c r="M319" s="13">
        <v>28220</v>
      </c>
      <c r="N319" s="13">
        <v>28220</v>
      </c>
      <c r="O319" s="13">
        <f>179322-27588+3436-28220-28220</f>
        <v>98730</v>
      </c>
      <c r="P319" s="13">
        <f t="shared" si="168"/>
        <v>296270</v>
      </c>
    </row>
    <row r="320" spans="1:16" ht="15.75" customHeight="1" x14ac:dyDescent="0.25">
      <c r="A320" s="150"/>
      <c r="B320" s="134"/>
      <c r="C320" s="135"/>
      <c r="D320" s="136"/>
      <c r="E320" s="165"/>
      <c r="F320" s="21" t="s">
        <v>386</v>
      </c>
      <c r="G320" s="14" t="s">
        <v>316</v>
      </c>
      <c r="H320" s="15">
        <v>7565</v>
      </c>
      <c r="I320" s="15">
        <v>7195</v>
      </c>
      <c r="J320" s="31">
        <v>6440</v>
      </c>
      <c r="K320" s="31">
        <v>5653</v>
      </c>
      <c r="L320" s="31">
        <v>4883</v>
      </c>
      <c r="M320" s="31">
        <v>4114</v>
      </c>
      <c r="N320" s="15">
        <v>3355</v>
      </c>
      <c r="O320" s="31">
        <v>5680</v>
      </c>
      <c r="P320" s="15">
        <f t="shared" si="168"/>
        <v>44885</v>
      </c>
    </row>
    <row r="321" spans="1:16" ht="36" customHeight="1" x14ac:dyDescent="0.25">
      <c r="A321" s="151"/>
      <c r="B321" s="134"/>
      <c r="C321" s="135"/>
      <c r="D321" s="136"/>
      <c r="E321" s="165"/>
      <c r="F321" s="16"/>
      <c r="G321" s="16" t="s">
        <v>14</v>
      </c>
      <c r="H321" s="17">
        <f t="shared" ref="H321:O321" si="190">SUM(H319:H320)</f>
        <v>35785</v>
      </c>
      <c r="I321" s="17">
        <f t="shared" si="190"/>
        <v>35415</v>
      </c>
      <c r="J321" s="17">
        <f t="shared" si="190"/>
        <v>34660</v>
      </c>
      <c r="K321" s="17">
        <f t="shared" si="190"/>
        <v>33873</v>
      </c>
      <c r="L321" s="17">
        <f t="shared" si="190"/>
        <v>33103</v>
      </c>
      <c r="M321" s="17">
        <f t="shared" si="190"/>
        <v>32334</v>
      </c>
      <c r="N321" s="17">
        <f t="shared" si="190"/>
        <v>31575</v>
      </c>
      <c r="O321" s="17">
        <f t="shared" si="190"/>
        <v>104410</v>
      </c>
      <c r="P321" s="18">
        <f t="shared" si="168"/>
        <v>341155</v>
      </c>
    </row>
    <row r="322" spans="1:16" ht="15.75" customHeight="1" x14ac:dyDescent="0.25">
      <c r="A322" s="149">
        <f t="shared" si="188"/>
        <v>105</v>
      </c>
      <c r="B322" s="134" t="s">
        <v>8</v>
      </c>
      <c r="C322" s="145" t="s">
        <v>387</v>
      </c>
      <c r="D322" s="136">
        <v>44376</v>
      </c>
      <c r="E322" s="144" t="s">
        <v>388</v>
      </c>
      <c r="F322" s="24" t="s">
        <v>389</v>
      </c>
      <c r="G322" s="12" t="s">
        <v>12</v>
      </c>
      <c r="H322" s="13">
        <v>29744</v>
      </c>
      <c r="I322" s="13">
        <v>29744</v>
      </c>
      <c r="J322" s="13">
        <v>29744</v>
      </c>
      <c r="K322" s="13">
        <v>29744</v>
      </c>
      <c r="L322" s="13">
        <v>29744</v>
      </c>
      <c r="M322" s="13">
        <v>29744</v>
      </c>
      <c r="N322" s="13">
        <v>29744</v>
      </c>
      <c r="O322" s="13">
        <f>189098-29092+3573-29744-29744</f>
        <v>104091</v>
      </c>
      <c r="P322" s="13">
        <f t="shared" si="168"/>
        <v>312299</v>
      </c>
    </row>
    <row r="323" spans="1:16" ht="15.75" customHeight="1" x14ac:dyDescent="0.25">
      <c r="A323" s="150"/>
      <c r="B323" s="134"/>
      <c r="C323" s="135"/>
      <c r="D323" s="136"/>
      <c r="E323" s="144"/>
      <c r="F323" s="21" t="s">
        <v>390</v>
      </c>
      <c r="G323" s="14" t="s">
        <v>316</v>
      </c>
      <c r="H323" s="15">
        <v>7973</v>
      </c>
      <c r="I323" s="15">
        <v>7584</v>
      </c>
      <c r="J323" s="31">
        <v>6789</v>
      </c>
      <c r="K323" s="31">
        <v>5959</v>
      </c>
      <c r="L323" s="31">
        <v>5147</v>
      </c>
      <c r="M323" s="31">
        <v>4337</v>
      </c>
      <c r="N323" s="31">
        <v>3537</v>
      </c>
      <c r="O323" s="31">
        <v>5990</v>
      </c>
      <c r="P323" s="15">
        <f t="shared" si="168"/>
        <v>47316</v>
      </c>
    </row>
    <row r="324" spans="1:16" ht="15.75" customHeight="1" x14ac:dyDescent="0.25">
      <c r="A324" s="151"/>
      <c r="B324" s="134"/>
      <c r="C324" s="135"/>
      <c r="D324" s="136"/>
      <c r="E324" s="144"/>
      <c r="F324" s="16"/>
      <c r="G324" s="16" t="s">
        <v>14</v>
      </c>
      <c r="H324" s="17">
        <f t="shared" ref="H324:O324" si="191">SUM(H322:H323)</f>
        <v>37717</v>
      </c>
      <c r="I324" s="17">
        <f t="shared" si="191"/>
        <v>37328</v>
      </c>
      <c r="J324" s="17">
        <f t="shared" si="191"/>
        <v>36533</v>
      </c>
      <c r="K324" s="17">
        <f t="shared" si="191"/>
        <v>35703</v>
      </c>
      <c r="L324" s="17">
        <f t="shared" si="191"/>
        <v>34891</v>
      </c>
      <c r="M324" s="17">
        <f t="shared" si="191"/>
        <v>34081</v>
      </c>
      <c r="N324" s="17">
        <f t="shared" si="191"/>
        <v>33281</v>
      </c>
      <c r="O324" s="17">
        <f t="shared" si="191"/>
        <v>110081</v>
      </c>
      <c r="P324" s="18">
        <f t="shared" si="168"/>
        <v>359615</v>
      </c>
    </row>
    <row r="325" spans="1:16" ht="15.75" customHeight="1" x14ac:dyDescent="0.25">
      <c r="A325" s="149">
        <f t="shared" si="188"/>
        <v>106</v>
      </c>
      <c r="B325" s="134" t="s">
        <v>8</v>
      </c>
      <c r="C325" s="145" t="s">
        <v>731</v>
      </c>
      <c r="D325" s="136">
        <v>44412</v>
      </c>
      <c r="E325" s="144" t="s">
        <v>391</v>
      </c>
      <c r="F325" s="24" t="s">
        <v>392</v>
      </c>
      <c r="G325" s="12" t="s">
        <v>12</v>
      </c>
      <c r="H325" s="13">
        <v>34784</v>
      </c>
      <c r="I325" s="13">
        <v>34784</v>
      </c>
      <c r="J325" s="13">
        <v>34784</v>
      </c>
      <c r="K325" s="13">
        <v>34784</v>
      </c>
      <c r="L325" s="13">
        <v>34784</v>
      </c>
      <c r="M325" s="13">
        <v>34784</v>
      </c>
      <c r="N325" s="13">
        <v>34784</v>
      </c>
      <c r="O325" s="13">
        <f>8696*82+8650-34784-34784</f>
        <v>652154</v>
      </c>
      <c r="P325" s="13">
        <f t="shared" si="168"/>
        <v>895642</v>
      </c>
    </row>
    <row r="326" spans="1:16" ht="15.75" customHeight="1" x14ac:dyDescent="0.25">
      <c r="A326" s="150"/>
      <c r="B326" s="134"/>
      <c r="C326" s="135"/>
      <c r="D326" s="136"/>
      <c r="E326" s="144"/>
      <c r="F326" s="21" t="s">
        <v>393</v>
      </c>
      <c r="G326" s="14" t="s">
        <v>316</v>
      </c>
      <c r="H326" s="15">
        <v>26920</v>
      </c>
      <c r="I326" s="15">
        <v>26568</v>
      </c>
      <c r="J326" s="15">
        <v>25555</v>
      </c>
      <c r="K326" s="15">
        <v>24404</v>
      </c>
      <c r="L326" s="15">
        <v>23324</v>
      </c>
      <c r="M326" s="15">
        <v>22245</v>
      </c>
      <c r="N326" s="15">
        <v>21226</v>
      </c>
      <c r="O326" s="15">
        <v>196958</v>
      </c>
      <c r="P326" s="15">
        <f t="shared" si="168"/>
        <v>367200</v>
      </c>
    </row>
    <row r="327" spans="1:16" ht="15.75" customHeight="1" x14ac:dyDescent="0.25">
      <c r="A327" s="151"/>
      <c r="B327" s="134"/>
      <c r="C327" s="135"/>
      <c r="D327" s="136"/>
      <c r="E327" s="144"/>
      <c r="F327" s="16"/>
      <c r="G327" s="16" t="s">
        <v>14</v>
      </c>
      <c r="H327" s="17">
        <f t="shared" ref="H327:O327" si="192">SUM(H325:H326)</f>
        <v>61704</v>
      </c>
      <c r="I327" s="17">
        <f t="shared" si="192"/>
        <v>61352</v>
      </c>
      <c r="J327" s="17">
        <f t="shared" si="192"/>
        <v>60339</v>
      </c>
      <c r="K327" s="17">
        <f t="shared" si="192"/>
        <v>59188</v>
      </c>
      <c r="L327" s="17">
        <f t="shared" si="192"/>
        <v>58108</v>
      </c>
      <c r="M327" s="17">
        <f t="shared" si="192"/>
        <v>57029</v>
      </c>
      <c r="N327" s="17">
        <f t="shared" si="192"/>
        <v>56010</v>
      </c>
      <c r="O327" s="17">
        <f t="shared" si="192"/>
        <v>849112</v>
      </c>
      <c r="P327" s="18">
        <f t="shared" si="168"/>
        <v>1262842</v>
      </c>
    </row>
    <row r="328" spans="1:16" ht="15.75" customHeight="1" x14ac:dyDescent="0.25">
      <c r="A328" s="149">
        <f t="shared" si="188"/>
        <v>107</v>
      </c>
      <c r="B328" s="134" t="s">
        <v>8</v>
      </c>
      <c r="C328" s="166" t="s">
        <v>394</v>
      </c>
      <c r="D328" s="144" t="s">
        <v>395</v>
      </c>
      <c r="E328" s="144" t="s">
        <v>396</v>
      </c>
      <c r="F328" s="24" t="s">
        <v>397</v>
      </c>
      <c r="G328" s="12" t="s">
        <v>12</v>
      </c>
      <c r="H328" s="13">
        <v>9868</v>
      </c>
      <c r="I328" s="13">
        <v>9868</v>
      </c>
      <c r="J328" s="13">
        <v>7399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f t="shared" si="168"/>
        <v>27135</v>
      </c>
    </row>
    <row r="329" spans="1:16" ht="15.75" customHeight="1" x14ac:dyDescent="0.25">
      <c r="A329" s="150"/>
      <c r="B329" s="134"/>
      <c r="C329" s="166"/>
      <c r="D329" s="144"/>
      <c r="E329" s="144"/>
      <c r="F329" s="21" t="s">
        <v>398</v>
      </c>
      <c r="G329" s="14" t="s">
        <v>316</v>
      </c>
      <c r="H329" s="15">
        <v>662</v>
      </c>
      <c r="I329" s="15">
        <v>409</v>
      </c>
      <c r="J329" s="31">
        <v>152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f t="shared" si="168"/>
        <v>1223</v>
      </c>
    </row>
    <row r="330" spans="1:16" ht="15.75" customHeight="1" x14ac:dyDescent="0.25">
      <c r="A330" s="151"/>
      <c r="B330" s="134"/>
      <c r="C330" s="166"/>
      <c r="D330" s="144"/>
      <c r="E330" s="144"/>
      <c r="F330" s="16"/>
      <c r="G330" s="16" t="s">
        <v>14</v>
      </c>
      <c r="H330" s="17">
        <f t="shared" ref="H330:O330" si="193">SUM(H328:H329)</f>
        <v>10530</v>
      </c>
      <c r="I330" s="17">
        <f t="shared" si="193"/>
        <v>10277</v>
      </c>
      <c r="J330" s="17">
        <f t="shared" si="193"/>
        <v>7551</v>
      </c>
      <c r="K330" s="17">
        <f t="shared" si="193"/>
        <v>0</v>
      </c>
      <c r="L330" s="17">
        <f>SUM(L328:L329)</f>
        <v>0</v>
      </c>
      <c r="M330" s="17">
        <f t="shared" ref="M330:N330" si="194">SUM(M328:M329)</f>
        <v>0</v>
      </c>
      <c r="N330" s="17">
        <f t="shared" si="194"/>
        <v>0</v>
      </c>
      <c r="O330" s="17">
        <f t="shared" si="193"/>
        <v>0</v>
      </c>
      <c r="P330" s="18">
        <f t="shared" ref="P330:P393" si="195">SUM(H330:O330)</f>
        <v>28358</v>
      </c>
    </row>
    <row r="331" spans="1:16" ht="15" customHeight="1" x14ac:dyDescent="0.25">
      <c r="A331" s="149">
        <f t="shared" si="188"/>
        <v>108</v>
      </c>
      <c r="B331" s="134" t="s">
        <v>8</v>
      </c>
      <c r="C331" s="166" t="s">
        <v>399</v>
      </c>
      <c r="D331" s="144" t="s">
        <v>395</v>
      </c>
      <c r="E331" s="144" t="s">
        <v>396</v>
      </c>
      <c r="F331" s="24" t="s">
        <v>400</v>
      </c>
      <c r="G331" s="12" t="s">
        <v>12</v>
      </c>
      <c r="H331" s="13">
        <v>6032</v>
      </c>
      <c r="I331" s="13">
        <v>6032</v>
      </c>
      <c r="J331" s="13">
        <v>6032</v>
      </c>
      <c r="K331" s="13">
        <v>4520</v>
      </c>
      <c r="L331" s="13">
        <v>0</v>
      </c>
      <c r="M331" s="13">
        <v>0</v>
      </c>
      <c r="N331" s="13">
        <v>0</v>
      </c>
      <c r="O331" s="13">
        <v>0</v>
      </c>
      <c r="P331" s="13">
        <f t="shared" si="195"/>
        <v>22616</v>
      </c>
    </row>
    <row r="332" spans="1:16" ht="15" customHeight="1" x14ac:dyDescent="0.25">
      <c r="A332" s="150"/>
      <c r="B332" s="134"/>
      <c r="C332" s="166"/>
      <c r="D332" s="144"/>
      <c r="E332" s="144"/>
      <c r="F332" s="21" t="s">
        <v>401</v>
      </c>
      <c r="G332" s="14" t="s">
        <v>316</v>
      </c>
      <c r="H332" s="15">
        <v>561</v>
      </c>
      <c r="I332" s="15">
        <v>406</v>
      </c>
      <c r="J332" s="15">
        <v>250</v>
      </c>
      <c r="K332" s="31">
        <v>93</v>
      </c>
      <c r="L332" s="15">
        <v>0</v>
      </c>
      <c r="M332" s="15">
        <v>0</v>
      </c>
      <c r="N332" s="15">
        <v>0</v>
      </c>
      <c r="O332" s="15">
        <v>0</v>
      </c>
      <c r="P332" s="15">
        <f t="shared" si="195"/>
        <v>1310</v>
      </c>
    </row>
    <row r="333" spans="1:16" ht="15" customHeight="1" x14ac:dyDescent="0.25">
      <c r="A333" s="151"/>
      <c r="B333" s="134"/>
      <c r="C333" s="166"/>
      <c r="D333" s="144"/>
      <c r="E333" s="144"/>
      <c r="F333" s="16"/>
      <c r="G333" s="16" t="s">
        <v>14</v>
      </c>
      <c r="H333" s="17">
        <f t="shared" ref="H333:O333" si="196">SUM(H331:H332)</f>
        <v>6593</v>
      </c>
      <c r="I333" s="17">
        <f t="shared" si="196"/>
        <v>6438</v>
      </c>
      <c r="J333" s="17">
        <f t="shared" si="196"/>
        <v>6282</v>
      </c>
      <c r="K333" s="17">
        <f t="shared" si="196"/>
        <v>4613</v>
      </c>
      <c r="L333" s="17">
        <f t="shared" si="196"/>
        <v>0</v>
      </c>
      <c r="M333" s="17">
        <f t="shared" si="196"/>
        <v>0</v>
      </c>
      <c r="N333" s="17">
        <f t="shared" si="196"/>
        <v>0</v>
      </c>
      <c r="O333" s="17">
        <f t="shared" si="196"/>
        <v>0</v>
      </c>
      <c r="P333" s="18">
        <f t="shared" si="195"/>
        <v>23926</v>
      </c>
    </row>
    <row r="334" spans="1:16" ht="15.75" customHeight="1" x14ac:dyDescent="0.25">
      <c r="A334" s="149">
        <f t="shared" si="188"/>
        <v>109</v>
      </c>
      <c r="B334" s="134" t="s">
        <v>8</v>
      </c>
      <c r="C334" s="167" t="s">
        <v>402</v>
      </c>
      <c r="D334" s="144" t="s">
        <v>395</v>
      </c>
      <c r="E334" s="144" t="s">
        <v>403</v>
      </c>
      <c r="F334" s="24" t="s">
        <v>404</v>
      </c>
      <c r="G334" s="12" t="s">
        <v>12</v>
      </c>
      <c r="H334" s="13">
        <v>13444</v>
      </c>
      <c r="I334" s="13">
        <v>13444</v>
      </c>
      <c r="J334" s="13">
        <v>13444</v>
      </c>
      <c r="K334" s="13">
        <v>13444</v>
      </c>
      <c r="L334" s="13">
        <v>13444</v>
      </c>
      <c r="M334" s="13">
        <v>13444</v>
      </c>
      <c r="N334" s="13">
        <v>13444</v>
      </c>
      <c r="O334" s="13">
        <f>144473-13444-13444</f>
        <v>117585</v>
      </c>
      <c r="P334" s="13">
        <f t="shared" si="195"/>
        <v>211693</v>
      </c>
    </row>
    <row r="335" spans="1:16" ht="15.75" customHeight="1" x14ac:dyDescent="0.25">
      <c r="A335" s="150"/>
      <c r="B335" s="134"/>
      <c r="C335" s="167"/>
      <c r="D335" s="144"/>
      <c r="E335" s="144"/>
      <c r="F335" s="21" t="s">
        <v>405</v>
      </c>
      <c r="G335" s="14" t="s">
        <v>316</v>
      </c>
      <c r="H335" s="15">
        <v>5676</v>
      </c>
      <c r="I335" s="15">
        <v>5336</v>
      </c>
      <c r="J335" s="31">
        <v>4984</v>
      </c>
      <c r="K335" s="31">
        <v>4604</v>
      </c>
      <c r="L335" s="31">
        <v>4238</v>
      </c>
      <c r="M335" s="31">
        <v>3873</v>
      </c>
      <c r="N335" s="31">
        <v>2518</v>
      </c>
      <c r="O335" s="31">
        <v>15116</v>
      </c>
      <c r="P335" s="15">
        <f t="shared" si="195"/>
        <v>46345</v>
      </c>
    </row>
    <row r="336" spans="1:16" ht="15.75" customHeight="1" x14ac:dyDescent="0.25">
      <c r="A336" s="151"/>
      <c r="B336" s="134"/>
      <c r="C336" s="167"/>
      <c r="D336" s="144"/>
      <c r="E336" s="144"/>
      <c r="F336" s="16"/>
      <c r="G336" s="16" t="s">
        <v>14</v>
      </c>
      <c r="H336" s="17">
        <f t="shared" ref="H336:O336" si="197">SUM(H334:H335)</f>
        <v>19120</v>
      </c>
      <c r="I336" s="17">
        <f t="shared" si="197"/>
        <v>18780</v>
      </c>
      <c r="J336" s="17">
        <f t="shared" si="197"/>
        <v>18428</v>
      </c>
      <c r="K336" s="17">
        <f t="shared" si="197"/>
        <v>18048</v>
      </c>
      <c r="L336" s="17">
        <f t="shared" si="197"/>
        <v>17682</v>
      </c>
      <c r="M336" s="17">
        <f t="shared" si="197"/>
        <v>17317</v>
      </c>
      <c r="N336" s="17">
        <f t="shared" si="197"/>
        <v>15962</v>
      </c>
      <c r="O336" s="17">
        <f t="shared" si="197"/>
        <v>132701</v>
      </c>
      <c r="P336" s="18">
        <f t="shared" si="195"/>
        <v>258038</v>
      </c>
    </row>
    <row r="337" spans="1:16" ht="15.75" customHeight="1" x14ac:dyDescent="0.25">
      <c r="A337" s="149">
        <f t="shared" si="188"/>
        <v>110</v>
      </c>
      <c r="B337" s="134" t="s">
        <v>8</v>
      </c>
      <c r="C337" s="167" t="s">
        <v>406</v>
      </c>
      <c r="D337" s="144" t="s">
        <v>407</v>
      </c>
      <c r="E337" s="144" t="s">
        <v>408</v>
      </c>
      <c r="F337" s="24" t="s">
        <v>409</v>
      </c>
      <c r="G337" s="12" t="s">
        <v>12</v>
      </c>
      <c r="H337" s="13">
        <v>70412</v>
      </c>
      <c r="I337" s="13">
        <v>70412</v>
      </c>
      <c r="J337" s="13">
        <v>70412</v>
      </c>
      <c r="K337" s="13">
        <v>70412</v>
      </c>
      <c r="L337" s="13">
        <v>70412</v>
      </c>
      <c r="M337" s="13">
        <v>70412</v>
      </c>
      <c r="N337" s="13">
        <v>70412</v>
      </c>
      <c r="O337" s="13">
        <f>1179256-69368+16624-70412-70412</f>
        <v>985688</v>
      </c>
      <c r="P337" s="13">
        <f t="shared" si="195"/>
        <v>1478572</v>
      </c>
    </row>
    <row r="338" spans="1:16" ht="15.75" customHeight="1" x14ac:dyDescent="0.25">
      <c r="A338" s="150"/>
      <c r="B338" s="134"/>
      <c r="C338" s="167"/>
      <c r="D338" s="144"/>
      <c r="E338" s="144"/>
      <c r="F338" s="21" t="s">
        <v>410</v>
      </c>
      <c r="G338" s="14" t="s">
        <v>316</v>
      </c>
      <c r="H338" s="15">
        <v>44889</v>
      </c>
      <c r="I338" s="15">
        <v>42219</v>
      </c>
      <c r="J338" s="15">
        <v>40169</v>
      </c>
      <c r="K338" s="15">
        <v>37932</v>
      </c>
      <c r="L338" s="15">
        <v>35806</v>
      </c>
      <c r="M338" s="15">
        <v>33683</v>
      </c>
      <c r="N338" s="15">
        <v>31649</v>
      </c>
      <c r="O338" s="15">
        <v>218754</v>
      </c>
      <c r="P338" s="15">
        <f t="shared" si="195"/>
        <v>485101</v>
      </c>
    </row>
    <row r="339" spans="1:16" ht="15.75" customHeight="1" x14ac:dyDescent="0.25">
      <c r="A339" s="151"/>
      <c r="B339" s="134"/>
      <c r="C339" s="167"/>
      <c r="D339" s="144"/>
      <c r="E339" s="144"/>
      <c r="F339" s="16"/>
      <c r="G339" s="16" t="s">
        <v>14</v>
      </c>
      <c r="H339" s="17">
        <f t="shared" ref="H339:O339" si="198">SUM(H337:H338)</f>
        <v>115301</v>
      </c>
      <c r="I339" s="17">
        <f t="shared" si="198"/>
        <v>112631</v>
      </c>
      <c r="J339" s="17">
        <f t="shared" si="198"/>
        <v>110581</v>
      </c>
      <c r="K339" s="17">
        <f t="shared" si="198"/>
        <v>108344</v>
      </c>
      <c r="L339" s="17">
        <f t="shared" si="198"/>
        <v>106218</v>
      </c>
      <c r="M339" s="17">
        <f t="shared" si="198"/>
        <v>104095</v>
      </c>
      <c r="N339" s="17">
        <f t="shared" si="198"/>
        <v>102061</v>
      </c>
      <c r="O339" s="17">
        <f t="shared" si="198"/>
        <v>1204442</v>
      </c>
      <c r="P339" s="18">
        <f t="shared" si="195"/>
        <v>1963673</v>
      </c>
    </row>
    <row r="340" spans="1:16" ht="16.5" customHeight="1" x14ac:dyDescent="0.25">
      <c r="A340" s="149">
        <f t="shared" si="188"/>
        <v>111</v>
      </c>
      <c r="B340" s="134" t="s">
        <v>8</v>
      </c>
      <c r="C340" s="168" t="s">
        <v>732</v>
      </c>
      <c r="D340" s="144" t="s">
        <v>411</v>
      </c>
      <c r="E340" s="144" t="s">
        <v>412</v>
      </c>
      <c r="F340" s="24" t="s">
        <v>413</v>
      </c>
      <c r="G340" s="12" t="s">
        <v>12</v>
      </c>
      <c r="H340" s="28">
        <v>15944</v>
      </c>
      <c r="I340" s="28">
        <v>15944</v>
      </c>
      <c r="J340" s="28">
        <v>15944</v>
      </c>
      <c r="K340" s="28">
        <v>15944</v>
      </c>
      <c r="L340" s="28">
        <v>15944</v>
      </c>
      <c r="M340" s="28">
        <v>15944</v>
      </c>
      <c r="N340" s="28">
        <v>15944</v>
      </c>
      <c r="O340" s="28">
        <f>189168-15764+1964-15944-15944</f>
        <v>143480</v>
      </c>
      <c r="P340" s="13">
        <f t="shared" si="195"/>
        <v>255088</v>
      </c>
    </row>
    <row r="341" spans="1:16" ht="16.5" customHeight="1" x14ac:dyDescent="0.25">
      <c r="A341" s="150"/>
      <c r="B341" s="134"/>
      <c r="C341" s="168"/>
      <c r="D341" s="144"/>
      <c r="E341" s="144"/>
      <c r="F341" s="21" t="s">
        <v>414</v>
      </c>
      <c r="G341" s="14" t="s">
        <v>316</v>
      </c>
      <c r="H341" s="15">
        <f>7496+1537</f>
        <v>9033</v>
      </c>
      <c r="I341" s="15">
        <f>6854+1440</f>
        <v>8294</v>
      </c>
      <c r="J341" s="15">
        <f>6395+1346</f>
        <v>7741</v>
      </c>
      <c r="K341" s="31">
        <f>5916+1246</f>
        <v>7162</v>
      </c>
      <c r="L341" s="31">
        <f>5456+1149</f>
        <v>6605</v>
      </c>
      <c r="M341" s="31">
        <f>4996+1052</f>
        <v>6048</v>
      </c>
      <c r="N341" s="31">
        <f>4549+958</f>
        <v>5507</v>
      </c>
      <c r="O341" s="31">
        <f>20117+4235</f>
        <v>24352</v>
      </c>
      <c r="P341" s="15">
        <f t="shared" si="195"/>
        <v>74742</v>
      </c>
    </row>
    <row r="342" spans="1:16" ht="16.5" customHeight="1" x14ac:dyDescent="0.25">
      <c r="A342" s="151"/>
      <c r="B342" s="134"/>
      <c r="C342" s="168"/>
      <c r="D342" s="144"/>
      <c r="E342" s="144"/>
      <c r="F342" s="16"/>
      <c r="G342" s="16" t="s">
        <v>14</v>
      </c>
      <c r="H342" s="17">
        <f t="shared" ref="H342:O342" si="199">SUM(H340:H341)</f>
        <v>24977</v>
      </c>
      <c r="I342" s="17">
        <f t="shared" si="199"/>
        <v>24238</v>
      </c>
      <c r="J342" s="17">
        <f t="shared" si="199"/>
        <v>23685</v>
      </c>
      <c r="K342" s="17">
        <f t="shared" si="199"/>
        <v>23106</v>
      </c>
      <c r="L342" s="17">
        <f t="shared" si="199"/>
        <v>22549</v>
      </c>
      <c r="M342" s="17">
        <f t="shared" si="199"/>
        <v>21992</v>
      </c>
      <c r="N342" s="17">
        <f t="shared" si="199"/>
        <v>21451</v>
      </c>
      <c r="O342" s="17">
        <f t="shared" si="199"/>
        <v>167832</v>
      </c>
      <c r="P342" s="18">
        <f t="shared" si="195"/>
        <v>329830</v>
      </c>
    </row>
    <row r="343" spans="1:16" ht="14.25" customHeight="1" x14ac:dyDescent="0.25">
      <c r="A343" s="149">
        <f t="shared" si="188"/>
        <v>112</v>
      </c>
      <c r="B343" s="134" t="s">
        <v>8</v>
      </c>
      <c r="C343" s="168" t="s">
        <v>733</v>
      </c>
      <c r="D343" s="144" t="s">
        <v>411</v>
      </c>
      <c r="E343" s="144" t="s">
        <v>412</v>
      </c>
      <c r="F343" s="24" t="s">
        <v>415</v>
      </c>
      <c r="G343" s="12" t="s">
        <v>12</v>
      </c>
      <c r="H343" s="28">
        <v>29836</v>
      </c>
      <c r="I343" s="28">
        <v>29836</v>
      </c>
      <c r="J343" s="28">
        <v>29836</v>
      </c>
      <c r="K343" s="28">
        <v>29836</v>
      </c>
      <c r="L343" s="28">
        <v>29836</v>
      </c>
      <c r="M343" s="28">
        <v>29836</v>
      </c>
      <c r="N343" s="28">
        <v>29836</v>
      </c>
      <c r="O343" s="28">
        <f>354867-29576+2889-29836-29836</f>
        <v>268508</v>
      </c>
      <c r="P343" s="13">
        <f t="shared" si="195"/>
        <v>477360</v>
      </c>
    </row>
    <row r="344" spans="1:16" ht="14.25" customHeight="1" x14ac:dyDescent="0.25">
      <c r="A344" s="150"/>
      <c r="B344" s="134"/>
      <c r="C344" s="168"/>
      <c r="D344" s="144"/>
      <c r="E344" s="144"/>
      <c r="F344" s="21" t="s">
        <v>416</v>
      </c>
      <c r="G344" s="14" t="s">
        <v>316</v>
      </c>
      <c r="H344" s="15">
        <v>14028</v>
      </c>
      <c r="I344" s="15">
        <v>12926</v>
      </c>
      <c r="J344" s="15">
        <v>11967</v>
      </c>
      <c r="K344" s="31">
        <v>11072</v>
      </c>
      <c r="L344" s="31">
        <v>10210</v>
      </c>
      <c r="M344" s="31">
        <v>9349</v>
      </c>
      <c r="N344" s="31">
        <v>8512</v>
      </c>
      <c r="O344" s="31">
        <v>37649</v>
      </c>
      <c r="P344" s="15">
        <f t="shared" si="195"/>
        <v>115713</v>
      </c>
    </row>
    <row r="345" spans="1:16" ht="14.25" customHeight="1" x14ac:dyDescent="0.25">
      <c r="A345" s="151"/>
      <c r="B345" s="134"/>
      <c r="C345" s="168"/>
      <c r="D345" s="144"/>
      <c r="E345" s="144"/>
      <c r="F345" s="16"/>
      <c r="G345" s="16" t="s">
        <v>14</v>
      </c>
      <c r="H345" s="17">
        <f t="shared" ref="H345:O345" si="200">SUM(H343:H344)</f>
        <v>43864</v>
      </c>
      <c r="I345" s="17">
        <f t="shared" si="200"/>
        <v>42762</v>
      </c>
      <c r="J345" s="17">
        <f t="shared" si="200"/>
        <v>41803</v>
      </c>
      <c r="K345" s="17">
        <f t="shared" si="200"/>
        <v>40908</v>
      </c>
      <c r="L345" s="17">
        <f t="shared" si="200"/>
        <v>40046</v>
      </c>
      <c r="M345" s="17">
        <f t="shared" si="200"/>
        <v>39185</v>
      </c>
      <c r="N345" s="17">
        <f t="shared" si="200"/>
        <v>38348</v>
      </c>
      <c r="O345" s="17">
        <f t="shared" si="200"/>
        <v>306157</v>
      </c>
      <c r="P345" s="18">
        <f t="shared" si="195"/>
        <v>593073</v>
      </c>
    </row>
    <row r="346" spans="1:16" ht="15" customHeight="1" x14ac:dyDescent="0.25">
      <c r="A346" s="149">
        <f t="shared" si="188"/>
        <v>113</v>
      </c>
      <c r="B346" s="134" t="s">
        <v>8</v>
      </c>
      <c r="C346" s="135" t="s">
        <v>743</v>
      </c>
      <c r="D346" s="144" t="s">
        <v>417</v>
      </c>
      <c r="E346" s="144" t="s">
        <v>418</v>
      </c>
      <c r="F346" s="19" t="s">
        <v>419</v>
      </c>
      <c r="G346" s="12" t="s">
        <v>12</v>
      </c>
      <c r="H346" s="13">
        <v>123520</v>
      </c>
      <c r="I346" s="13">
        <v>123520</v>
      </c>
      <c r="J346" s="13">
        <v>123520</v>
      </c>
      <c r="K346" s="13">
        <v>123520</v>
      </c>
      <c r="L346" s="13">
        <v>123520</v>
      </c>
      <c r="M346" s="13">
        <v>123520</v>
      </c>
      <c r="N346" s="13">
        <v>123520</v>
      </c>
      <c r="O346" s="13">
        <f>2092632-121312+35867-123520-123520</f>
        <v>1760147</v>
      </c>
      <c r="P346" s="13">
        <f t="shared" si="195"/>
        <v>2624787</v>
      </c>
    </row>
    <row r="347" spans="1:16" ht="15" customHeight="1" x14ac:dyDescent="0.25">
      <c r="A347" s="150"/>
      <c r="B347" s="134"/>
      <c r="C347" s="135"/>
      <c r="D347" s="144"/>
      <c r="E347" s="144"/>
      <c r="F347" s="21" t="s">
        <v>420</v>
      </c>
      <c r="G347" s="14" t="s">
        <v>316</v>
      </c>
      <c r="H347" s="22">
        <v>87120</v>
      </c>
      <c r="I347" s="22">
        <v>81239</v>
      </c>
      <c r="J347" s="15">
        <v>77399</v>
      </c>
      <c r="K347" s="31">
        <v>73143</v>
      </c>
      <c r="L347" s="31">
        <v>69100</v>
      </c>
      <c r="M347" s="31">
        <v>65063</v>
      </c>
      <c r="N347" s="39">
        <v>61198</v>
      </c>
      <c r="O347" s="31">
        <v>430655</v>
      </c>
      <c r="P347" s="15">
        <f t="shared" si="195"/>
        <v>944917</v>
      </c>
    </row>
    <row r="348" spans="1:16" ht="15" customHeight="1" x14ac:dyDescent="0.25">
      <c r="A348" s="151"/>
      <c r="B348" s="134"/>
      <c r="C348" s="135"/>
      <c r="D348" s="144"/>
      <c r="E348" s="144"/>
      <c r="F348" s="16"/>
      <c r="G348" s="16" t="s">
        <v>14</v>
      </c>
      <c r="H348" s="17">
        <f t="shared" ref="H348:O348" si="201">SUM(H346:H347)</f>
        <v>210640</v>
      </c>
      <c r="I348" s="17">
        <f t="shared" si="201"/>
        <v>204759</v>
      </c>
      <c r="J348" s="17">
        <f t="shared" si="201"/>
        <v>200919</v>
      </c>
      <c r="K348" s="17">
        <f t="shared" si="201"/>
        <v>196663</v>
      </c>
      <c r="L348" s="17">
        <f t="shared" si="201"/>
        <v>192620</v>
      </c>
      <c r="M348" s="17">
        <f t="shared" si="201"/>
        <v>188583</v>
      </c>
      <c r="N348" s="17">
        <f t="shared" si="201"/>
        <v>184718</v>
      </c>
      <c r="O348" s="17">
        <f t="shared" si="201"/>
        <v>2190802</v>
      </c>
      <c r="P348" s="18">
        <f t="shared" si="195"/>
        <v>3569704</v>
      </c>
    </row>
    <row r="349" spans="1:16" ht="15.6" customHeight="1" x14ac:dyDescent="0.25">
      <c r="A349" s="149">
        <f t="shared" si="188"/>
        <v>114</v>
      </c>
      <c r="B349" s="134" t="s">
        <v>8</v>
      </c>
      <c r="C349" s="135" t="s">
        <v>734</v>
      </c>
      <c r="D349" s="144" t="s">
        <v>417</v>
      </c>
      <c r="E349" s="144" t="s">
        <v>421</v>
      </c>
      <c r="F349" s="19" t="s">
        <v>422</v>
      </c>
      <c r="G349" s="12" t="s">
        <v>12</v>
      </c>
      <c r="H349" s="28">
        <v>55016</v>
      </c>
      <c r="I349" s="28">
        <v>55016</v>
      </c>
      <c r="J349" s="28">
        <v>55016</v>
      </c>
      <c r="K349" s="28">
        <v>55016</v>
      </c>
      <c r="L349" s="28">
        <v>55016</v>
      </c>
      <c r="M349" s="28">
        <v>55016</v>
      </c>
      <c r="N349" s="28">
        <v>55016</v>
      </c>
      <c r="O349" s="28">
        <f>662235.45-54060+10712-55016-55016</f>
        <v>508855.44999999995</v>
      </c>
      <c r="P349" s="13">
        <f t="shared" si="195"/>
        <v>893967.45</v>
      </c>
    </row>
    <row r="350" spans="1:16" ht="15.6" customHeight="1" x14ac:dyDescent="0.25">
      <c r="A350" s="150"/>
      <c r="B350" s="134"/>
      <c r="C350" s="135"/>
      <c r="D350" s="144"/>
      <c r="E350" s="144"/>
      <c r="F350" s="21" t="s">
        <v>423</v>
      </c>
      <c r="G350" s="14" t="s">
        <v>316</v>
      </c>
      <c r="H350" s="22">
        <v>28442</v>
      </c>
      <c r="I350" s="22">
        <v>26085</v>
      </c>
      <c r="J350" s="15">
        <v>24420</v>
      </c>
      <c r="K350" s="31">
        <v>22624</v>
      </c>
      <c r="L350" s="31">
        <v>20896</v>
      </c>
      <c r="M350" s="31">
        <v>19171</v>
      </c>
      <c r="N350" s="40">
        <v>17495</v>
      </c>
      <c r="O350" s="31">
        <v>79517</v>
      </c>
      <c r="P350" s="15">
        <f t="shared" si="195"/>
        <v>238650</v>
      </c>
    </row>
    <row r="351" spans="1:16" ht="15.6" customHeight="1" x14ac:dyDescent="0.25">
      <c r="A351" s="151"/>
      <c r="B351" s="134"/>
      <c r="C351" s="135"/>
      <c r="D351" s="144"/>
      <c r="E351" s="144"/>
      <c r="F351" s="16"/>
      <c r="G351" s="16" t="s">
        <v>14</v>
      </c>
      <c r="H351" s="17">
        <f t="shared" ref="H351:O351" si="202">SUM(H349:H350)</f>
        <v>83458</v>
      </c>
      <c r="I351" s="17">
        <f t="shared" si="202"/>
        <v>81101</v>
      </c>
      <c r="J351" s="17">
        <f t="shared" si="202"/>
        <v>79436</v>
      </c>
      <c r="K351" s="17">
        <f t="shared" si="202"/>
        <v>77640</v>
      </c>
      <c r="L351" s="17">
        <f t="shared" si="202"/>
        <v>75912</v>
      </c>
      <c r="M351" s="17">
        <f t="shared" si="202"/>
        <v>74187</v>
      </c>
      <c r="N351" s="17">
        <f t="shared" si="202"/>
        <v>72511</v>
      </c>
      <c r="O351" s="17">
        <f t="shared" si="202"/>
        <v>588372.44999999995</v>
      </c>
      <c r="P351" s="18">
        <f t="shared" si="195"/>
        <v>1132617.45</v>
      </c>
    </row>
    <row r="352" spans="1:16" ht="16.5" customHeight="1" x14ac:dyDescent="0.25">
      <c r="A352" s="149">
        <f t="shared" si="188"/>
        <v>115</v>
      </c>
      <c r="B352" s="134" t="s">
        <v>8</v>
      </c>
      <c r="C352" s="145" t="s">
        <v>424</v>
      </c>
      <c r="D352" s="144" t="s">
        <v>425</v>
      </c>
      <c r="E352" s="144" t="s">
        <v>426</v>
      </c>
      <c r="F352" s="19" t="s">
        <v>427</v>
      </c>
      <c r="G352" s="12" t="s">
        <v>12</v>
      </c>
      <c r="H352" s="13">
        <f t="shared" ref="H352:L352" si="203">51280-2880</f>
        <v>48400</v>
      </c>
      <c r="I352" s="13">
        <f t="shared" si="203"/>
        <v>48400</v>
      </c>
      <c r="J352" s="13">
        <f t="shared" si="203"/>
        <v>48400</v>
      </c>
      <c r="K352" s="13">
        <f t="shared" si="203"/>
        <v>48400</v>
      </c>
      <c r="L352" s="13">
        <f t="shared" si="203"/>
        <v>48400</v>
      </c>
      <c r="M352" s="13">
        <v>48400</v>
      </c>
      <c r="N352" s="13">
        <v>48400</v>
      </c>
      <c r="O352" s="13">
        <f>12820*45+12778-33081-48400-48400</f>
        <v>459797</v>
      </c>
      <c r="P352" s="13">
        <f t="shared" si="195"/>
        <v>798597</v>
      </c>
    </row>
    <row r="353" spans="1:16" ht="16.5" customHeight="1" x14ac:dyDescent="0.25">
      <c r="A353" s="150"/>
      <c r="B353" s="134"/>
      <c r="C353" s="145"/>
      <c r="D353" s="144"/>
      <c r="E353" s="144"/>
      <c r="F353" s="21" t="s">
        <v>428</v>
      </c>
      <c r="G353" s="14" t="s">
        <v>316</v>
      </c>
      <c r="H353" s="15">
        <v>27880</v>
      </c>
      <c r="I353" s="15">
        <v>27208</v>
      </c>
      <c r="J353" s="15">
        <v>25500</v>
      </c>
      <c r="K353" s="31">
        <v>23657</v>
      </c>
      <c r="L353" s="31">
        <v>21884</v>
      </c>
      <c r="M353" s="31">
        <v>20113</v>
      </c>
      <c r="N353" s="31">
        <v>18395</v>
      </c>
      <c r="O353" s="31">
        <v>85940</v>
      </c>
      <c r="P353" s="15">
        <f t="shared" si="195"/>
        <v>250577</v>
      </c>
    </row>
    <row r="354" spans="1:16" ht="16.5" customHeight="1" x14ac:dyDescent="0.25">
      <c r="A354" s="151"/>
      <c r="B354" s="134"/>
      <c r="C354" s="145"/>
      <c r="D354" s="144"/>
      <c r="E354" s="144"/>
      <c r="F354" s="16"/>
      <c r="G354" s="16" t="s">
        <v>14</v>
      </c>
      <c r="H354" s="17">
        <f t="shared" ref="H354:O354" si="204">SUM(H352:H353)</f>
        <v>76280</v>
      </c>
      <c r="I354" s="17">
        <f t="shared" si="204"/>
        <v>75608</v>
      </c>
      <c r="J354" s="17">
        <f t="shared" si="204"/>
        <v>73900</v>
      </c>
      <c r="K354" s="17">
        <f t="shared" si="204"/>
        <v>72057</v>
      </c>
      <c r="L354" s="17">
        <f t="shared" si="204"/>
        <v>70284</v>
      </c>
      <c r="M354" s="17">
        <f t="shared" si="204"/>
        <v>68513</v>
      </c>
      <c r="N354" s="17">
        <f t="shared" si="204"/>
        <v>66795</v>
      </c>
      <c r="O354" s="17">
        <f t="shared" si="204"/>
        <v>545737</v>
      </c>
      <c r="P354" s="18">
        <f t="shared" si="195"/>
        <v>1049174</v>
      </c>
    </row>
    <row r="355" spans="1:16" ht="16.149999999999999" customHeight="1" x14ac:dyDescent="0.25">
      <c r="A355" s="149">
        <f t="shared" si="188"/>
        <v>116</v>
      </c>
      <c r="B355" s="134" t="s">
        <v>8</v>
      </c>
      <c r="C355" s="135" t="s">
        <v>429</v>
      </c>
      <c r="D355" s="144" t="s">
        <v>430</v>
      </c>
      <c r="E355" s="144" t="s">
        <v>431</v>
      </c>
      <c r="F355" s="19" t="s">
        <v>432</v>
      </c>
      <c r="G355" s="12" t="s">
        <v>12</v>
      </c>
      <c r="H355" s="13">
        <v>9788</v>
      </c>
      <c r="I355" s="13">
        <v>9788</v>
      </c>
      <c r="J355" s="13">
        <v>9788</v>
      </c>
      <c r="K355" s="13">
        <v>9788</v>
      </c>
      <c r="L355" s="13">
        <v>9788</v>
      </c>
      <c r="M355" s="13">
        <v>9788</v>
      </c>
      <c r="N355" s="13">
        <v>9788</v>
      </c>
      <c r="O355" s="13">
        <f>73625-9500+1912-9788-9788</f>
        <v>46461</v>
      </c>
      <c r="P355" s="13">
        <f t="shared" si="195"/>
        <v>114977</v>
      </c>
    </row>
    <row r="356" spans="1:16" ht="16.149999999999999" customHeight="1" x14ac:dyDescent="0.25">
      <c r="A356" s="150"/>
      <c r="B356" s="134"/>
      <c r="C356" s="135"/>
      <c r="D356" s="136"/>
      <c r="E356" s="136"/>
      <c r="F356" s="21" t="s">
        <v>433</v>
      </c>
      <c r="G356" s="14" t="s">
        <v>316</v>
      </c>
      <c r="H356" s="15">
        <v>4298</v>
      </c>
      <c r="I356" s="15">
        <v>4066</v>
      </c>
      <c r="J356" s="15">
        <v>3691</v>
      </c>
      <c r="K356" s="31">
        <v>3297</v>
      </c>
      <c r="L356" s="31">
        <v>2913</v>
      </c>
      <c r="M356" s="31">
        <v>2530</v>
      </c>
      <c r="N356" s="39">
        <v>2153</v>
      </c>
      <c r="O356" s="31">
        <v>4958</v>
      </c>
      <c r="P356" s="15">
        <f t="shared" si="195"/>
        <v>27906</v>
      </c>
    </row>
    <row r="357" spans="1:16" ht="16.149999999999999" customHeight="1" x14ac:dyDescent="0.25">
      <c r="A357" s="151"/>
      <c r="B357" s="134"/>
      <c r="C357" s="135"/>
      <c r="D357" s="136"/>
      <c r="E357" s="136"/>
      <c r="F357" s="16"/>
      <c r="G357" s="16" t="s">
        <v>14</v>
      </c>
      <c r="H357" s="17">
        <f t="shared" ref="H357:O357" si="205">SUM(H355:H356)</f>
        <v>14086</v>
      </c>
      <c r="I357" s="17">
        <f t="shared" si="205"/>
        <v>13854</v>
      </c>
      <c r="J357" s="17">
        <f t="shared" si="205"/>
        <v>13479</v>
      </c>
      <c r="K357" s="17">
        <f t="shared" si="205"/>
        <v>13085</v>
      </c>
      <c r="L357" s="17">
        <f t="shared" si="205"/>
        <v>12701</v>
      </c>
      <c r="M357" s="17">
        <f t="shared" si="205"/>
        <v>12318</v>
      </c>
      <c r="N357" s="17">
        <f t="shared" si="205"/>
        <v>11941</v>
      </c>
      <c r="O357" s="17">
        <f t="shared" si="205"/>
        <v>51419</v>
      </c>
      <c r="P357" s="18">
        <f t="shared" si="195"/>
        <v>142883</v>
      </c>
    </row>
    <row r="358" spans="1:16" ht="16.149999999999999" customHeight="1" x14ac:dyDescent="0.25">
      <c r="A358" s="149">
        <f t="shared" si="188"/>
        <v>117</v>
      </c>
      <c r="B358" s="134" t="s">
        <v>8</v>
      </c>
      <c r="C358" s="135" t="s">
        <v>434</v>
      </c>
      <c r="D358" s="144" t="s">
        <v>430</v>
      </c>
      <c r="E358" s="144" t="s">
        <v>205</v>
      </c>
      <c r="F358" s="19" t="s">
        <v>435</v>
      </c>
      <c r="G358" s="12" t="s">
        <v>12</v>
      </c>
      <c r="H358" s="13">
        <v>15944</v>
      </c>
      <c r="I358" s="13">
        <v>15944</v>
      </c>
      <c r="J358" s="13">
        <v>15944</v>
      </c>
      <c r="K358" s="13">
        <v>15944</v>
      </c>
      <c r="L358" s="13">
        <v>15944</v>
      </c>
      <c r="M358" s="13">
        <v>15944</v>
      </c>
      <c r="N358" s="13">
        <v>11954</v>
      </c>
      <c r="O358" s="13">
        <v>0</v>
      </c>
      <c r="P358" s="13">
        <f t="shared" si="195"/>
        <v>107618</v>
      </c>
    </row>
    <row r="359" spans="1:16" ht="16.149999999999999" customHeight="1" x14ac:dyDescent="0.25">
      <c r="A359" s="150"/>
      <c r="B359" s="134"/>
      <c r="C359" s="135"/>
      <c r="D359" s="136"/>
      <c r="E359" s="136"/>
      <c r="F359" s="21" t="s">
        <v>436</v>
      </c>
      <c r="G359" s="14" t="s">
        <v>316</v>
      </c>
      <c r="H359" s="15">
        <v>3797</v>
      </c>
      <c r="I359" s="15">
        <v>3341</v>
      </c>
      <c r="J359" s="15">
        <v>2750</v>
      </c>
      <c r="K359" s="31">
        <v>2145</v>
      </c>
      <c r="L359" s="31">
        <v>1548</v>
      </c>
      <c r="M359" s="31">
        <v>952</v>
      </c>
      <c r="N359" s="40">
        <v>332</v>
      </c>
      <c r="O359" s="31">
        <v>0</v>
      </c>
      <c r="P359" s="15">
        <f t="shared" si="195"/>
        <v>14865</v>
      </c>
    </row>
    <row r="360" spans="1:16" ht="15" customHeight="1" x14ac:dyDescent="0.25">
      <c r="A360" s="151"/>
      <c r="B360" s="134"/>
      <c r="C360" s="135"/>
      <c r="D360" s="136"/>
      <c r="E360" s="136"/>
      <c r="F360" s="16"/>
      <c r="G360" s="16" t="s">
        <v>14</v>
      </c>
      <c r="H360" s="17">
        <f t="shared" ref="H360:O360" si="206">SUM(H358:H359)</f>
        <v>19741</v>
      </c>
      <c r="I360" s="17">
        <f t="shared" si="206"/>
        <v>19285</v>
      </c>
      <c r="J360" s="17">
        <f t="shared" si="206"/>
        <v>18694</v>
      </c>
      <c r="K360" s="17">
        <f t="shared" si="206"/>
        <v>18089</v>
      </c>
      <c r="L360" s="17">
        <f t="shared" si="206"/>
        <v>17492</v>
      </c>
      <c r="M360" s="17">
        <f t="shared" si="206"/>
        <v>16896</v>
      </c>
      <c r="N360" s="17">
        <f t="shared" si="206"/>
        <v>12286</v>
      </c>
      <c r="O360" s="17">
        <f t="shared" si="206"/>
        <v>0</v>
      </c>
      <c r="P360" s="18">
        <f t="shared" si="195"/>
        <v>122483</v>
      </c>
    </row>
    <row r="361" spans="1:16" ht="15" customHeight="1" x14ac:dyDescent="0.25">
      <c r="A361" s="149">
        <f t="shared" si="188"/>
        <v>118</v>
      </c>
      <c r="B361" s="134" t="s">
        <v>8</v>
      </c>
      <c r="C361" s="169" t="s">
        <v>437</v>
      </c>
      <c r="D361" s="144" t="s">
        <v>430</v>
      </c>
      <c r="E361" s="144" t="s">
        <v>431</v>
      </c>
      <c r="F361" s="19" t="s">
        <v>438</v>
      </c>
      <c r="G361" s="12" t="s">
        <v>12</v>
      </c>
      <c r="H361" s="13">
        <v>13992</v>
      </c>
      <c r="I361" s="13">
        <v>13992</v>
      </c>
      <c r="J361" s="13">
        <v>13992</v>
      </c>
      <c r="K361" s="13">
        <v>13992</v>
      </c>
      <c r="L361" s="13">
        <v>13992</v>
      </c>
      <c r="M361" s="13">
        <v>13992</v>
      </c>
      <c r="N361" s="13">
        <v>13992</v>
      </c>
      <c r="O361" s="13">
        <f>105524-13616+2504-13992-13992</f>
        <v>66428</v>
      </c>
      <c r="P361" s="13">
        <f t="shared" si="195"/>
        <v>164372</v>
      </c>
    </row>
    <row r="362" spans="1:16" ht="17.25" customHeight="1" x14ac:dyDescent="0.25">
      <c r="A362" s="150"/>
      <c r="B362" s="134"/>
      <c r="C362" s="169"/>
      <c r="D362" s="136"/>
      <c r="E362" s="136"/>
      <c r="F362" s="21" t="s">
        <v>439</v>
      </c>
      <c r="G362" s="14" t="s">
        <v>316</v>
      </c>
      <c r="H362" s="15">
        <v>6144</v>
      </c>
      <c r="I362" s="15">
        <v>5813</v>
      </c>
      <c r="J362" s="15">
        <v>5277</v>
      </c>
      <c r="K362" s="31">
        <v>4714</v>
      </c>
      <c r="L362" s="31">
        <v>4165</v>
      </c>
      <c r="M362" s="31">
        <v>3617</v>
      </c>
      <c r="N362" s="31">
        <v>3078</v>
      </c>
      <c r="O362" s="31">
        <v>7090</v>
      </c>
      <c r="P362" s="15">
        <f t="shared" si="195"/>
        <v>39898</v>
      </c>
    </row>
    <row r="363" spans="1:16" x14ac:dyDescent="0.25">
      <c r="A363" s="151"/>
      <c r="B363" s="134"/>
      <c r="C363" s="169"/>
      <c r="D363" s="136"/>
      <c r="E363" s="136"/>
      <c r="F363" s="41"/>
      <c r="G363" s="16" t="s">
        <v>14</v>
      </c>
      <c r="H363" s="17">
        <f t="shared" ref="H363:O363" si="207">SUM(H361:H362)</f>
        <v>20136</v>
      </c>
      <c r="I363" s="17">
        <f t="shared" si="207"/>
        <v>19805</v>
      </c>
      <c r="J363" s="17">
        <f t="shared" si="207"/>
        <v>19269</v>
      </c>
      <c r="K363" s="17">
        <f t="shared" si="207"/>
        <v>18706</v>
      </c>
      <c r="L363" s="17">
        <f t="shared" si="207"/>
        <v>18157</v>
      </c>
      <c r="M363" s="17">
        <f t="shared" si="207"/>
        <v>17609</v>
      </c>
      <c r="N363" s="17">
        <f t="shared" si="207"/>
        <v>17070</v>
      </c>
      <c r="O363" s="17">
        <f t="shared" si="207"/>
        <v>73518</v>
      </c>
      <c r="P363" s="18">
        <f t="shared" si="195"/>
        <v>204270</v>
      </c>
    </row>
    <row r="364" spans="1:16" ht="15.6" customHeight="1" x14ac:dyDescent="0.25">
      <c r="A364" s="149">
        <f t="shared" si="188"/>
        <v>119</v>
      </c>
      <c r="B364" s="134" t="s">
        <v>8</v>
      </c>
      <c r="C364" s="145" t="s">
        <v>440</v>
      </c>
      <c r="D364" s="144" t="s">
        <v>430</v>
      </c>
      <c r="E364" s="144" t="s">
        <v>431</v>
      </c>
      <c r="F364" s="19" t="s">
        <v>441</v>
      </c>
      <c r="G364" s="12" t="s">
        <v>12</v>
      </c>
      <c r="H364" s="42">
        <v>9780</v>
      </c>
      <c r="I364" s="42">
        <v>9780</v>
      </c>
      <c r="J364" s="42">
        <v>9780</v>
      </c>
      <c r="K364" s="42">
        <v>9780</v>
      </c>
      <c r="L364" s="42">
        <v>9780</v>
      </c>
      <c r="M364" s="42">
        <v>9780</v>
      </c>
      <c r="N364" s="42">
        <v>9780</v>
      </c>
      <c r="O364" s="42">
        <f>73718-9512+1777-9780-9780</f>
        <v>46423</v>
      </c>
      <c r="P364" s="13">
        <f t="shared" si="195"/>
        <v>114883</v>
      </c>
    </row>
    <row r="365" spans="1:16" ht="15" customHeight="1" x14ac:dyDescent="0.25">
      <c r="A365" s="150"/>
      <c r="B365" s="134"/>
      <c r="C365" s="145"/>
      <c r="D365" s="136"/>
      <c r="E365" s="136"/>
      <c r="F365" s="21" t="s">
        <v>442</v>
      </c>
      <c r="G365" s="14" t="s">
        <v>316</v>
      </c>
      <c r="H365" s="40">
        <v>4294</v>
      </c>
      <c r="I365" s="40">
        <v>4063</v>
      </c>
      <c r="J365" s="40">
        <v>3688</v>
      </c>
      <c r="K365" s="39">
        <v>3295</v>
      </c>
      <c r="L365" s="39">
        <v>2911</v>
      </c>
      <c r="M365" s="39">
        <v>2528</v>
      </c>
      <c r="N365" s="39">
        <v>2151</v>
      </c>
      <c r="O365" s="39">
        <v>4954</v>
      </c>
      <c r="P365" s="15">
        <f t="shared" si="195"/>
        <v>27884</v>
      </c>
    </row>
    <row r="366" spans="1:16" x14ac:dyDescent="0.25">
      <c r="A366" s="151"/>
      <c r="B366" s="134"/>
      <c r="C366" s="145"/>
      <c r="D366" s="136"/>
      <c r="E366" s="136"/>
      <c r="F366" s="41"/>
      <c r="G366" s="16" t="s">
        <v>14</v>
      </c>
      <c r="H366" s="17">
        <f t="shared" ref="H366:O366" si="208">SUM(H364:H365)</f>
        <v>14074</v>
      </c>
      <c r="I366" s="17">
        <f t="shared" si="208"/>
        <v>13843</v>
      </c>
      <c r="J366" s="17">
        <f t="shared" si="208"/>
        <v>13468</v>
      </c>
      <c r="K366" s="17">
        <f t="shared" si="208"/>
        <v>13075</v>
      </c>
      <c r="L366" s="17">
        <f t="shared" si="208"/>
        <v>12691</v>
      </c>
      <c r="M366" s="17">
        <f t="shared" si="208"/>
        <v>12308</v>
      </c>
      <c r="N366" s="17">
        <f t="shared" si="208"/>
        <v>11931</v>
      </c>
      <c r="O366" s="17">
        <f t="shared" si="208"/>
        <v>51377</v>
      </c>
      <c r="P366" s="18">
        <f t="shared" si="195"/>
        <v>142767</v>
      </c>
    </row>
    <row r="367" spans="1:16" ht="15.75" customHeight="1" x14ac:dyDescent="0.25">
      <c r="A367" s="149">
        <f t="shared" si="188"/>
        <v>120</v>
      </c>
      <c r="B367" s="134" t="s">
        <v>8</v>
      </c>
      <c r="C367" s="135" t="s">
        <v>443</v>
      </c>
      <c r="D367" s="144" t="s">
        <v>430</v>
      </c>
      <c r="E367" s="144" t="s">
        <v>431</v>
      </c>
      <c r="F367" s="19" t="s">
        <v>444</v>
      </c>
      <c r="G367" s="12" t="s">
        <v>12</v>
      </c>
      <c r="H367" s="42">
        <v>36680</v>
      </c>
      <c r="I367" s="42">
        <v>36680</v>
      </c>
      <c r="J367" s="42">
        <v>36680</v>
      </c>
      <c r="K367" s="42">
        <v>36680</v>
      </c>
      <c r="L367" s="42">
        <v>36680</v>
      </c>
      <c r="M367" s="42">
        <v>36680</v>
      </c>
      <c r="N367" s="42">
        <v>36680</v>
      </c>
      <c r="O367" s="42">
        <f>483672-211027-35180+10101-36680-36680</f>
        <v>174206</v>
      </c>
      <c r="P367" s="13">
        <f t="shared" si="195"/>
        <v>430966</v>
      </c>
    </row>
    <row r="368" spans="1:16" ht="14.25" customHeight="1" x14ac:dyDescent="0.25">
      <c r="A368" s="150"/>
      <c r="B368" s="134"/>
      <c r="C368" s="135"/>
      <c r="D368" s="136"/>
      <c r="E368" s="136"/>
      <c r="F368" s="21" t="s">
        <v>445</v>
      </c>
      <c r="G368" s="14" t="s">
        <v>316</v>
      </c>
      <c r="H368" s="40">
        <v>16110</v>
      </c>
      <c r="I368" s="40">
        <v>15241</v>
      </c>
      <c r="J368" s="40">
        <v>13837</v>
      </c>
      <c r="K368" s="40">
        <v>12360</v>
      </c>
      <c r="L368" s="40">
        <v>10922</v>
      </c>
      <c r="M368" s="40">
        <v>9485</v>
      </c>
      <c r="N368" s="40">
        <v>8072</v>
      </c>
      <c r="O368" s="40">
        <v>18599</v>
      </c>
      <c r="P368" s="15">
        <f t="shared" si="195"/>
        <v>104626</v>
      </c>
    </row>
    <row r="369" spans="1:16" ht="14.25" customHeight="1" x14ac:dyDescent="0.25">
      <c r="A369" s="151"/>
      <c r="B369" s="134"/>
      <c r="C369" s="135"/>
      <c r="D369" s="136"/>
      <c r="E369" s="136"/>
      <c r="F369" s="41"/>
      <c r="G369" s="16" t="s">
        <v>14</v>
      </c>
      <c r="H369" s="17">
        <f t="shared" ref="H369:O369" si="209">SUM(H367:H368)</f>
        <v>52790</v>
      </c>
      <c r="I369" s="17">
        <f t="shared" si="209"/>
        <v>51921</v>
      </c>
      <c r="J369" s="17">
        <f t="shared" si="209"/>
        <v>50517</v>
      </c>
      <c r="K369" s="17">
        <f t="shared" si="209"/>
        <v>49040</v>
      </c>
      <c r="L369" s="17">
        <f t="shared" si="209"/>
        <v>47602</v>
      </c>
      <c r="M369" s="17">
        <f t="shared" si="209"/>
        <v>46165</v>
      </c>
      <c r="N369" s="17">
        <f t="shared" si="209"/>
        <v>44752</v>
      </c>
      <c r="O369" s="17">
        <f t="shared" si="209"/>
        <v>192805</v>
      </c>
      <c r="P369" s="18">
        <f t="shared" si="195"/>
        <v>535592</v>
      </c>
    </row>
    <row r="370" spans="1:16" ht="15.6" customHeight="1" x14ac:dyDescent="0.25">
      <c r="A370" s="149">
        <f t="shared" si="188"/>
        <v>121</v>
      </c>
      <c r="B370" s="134" t="s">
        <v>8</v>
      </c>
      <c r="C370" s="135" t="s">
        <v>446</v>
      </c>
      <c r="D370" s="158" t="s">
        <v>447</v>
      </c>
      <c r="E370" s="158" t="s">
        <v>122</v>
      </c>
      <c r="F370" s="19" t="s">
        <v>448</v>
      </c>
      <c r="G370" s="12" t="s">
        <v>12</v>
      </c>
      <c r="H370" s="42">
        <v>14752</v>
      </c>
      <c r="I370" s="42">
        <v>14752</v>
      </c>
      <c r="J370" s="42">
        <v>14752</v>
      </c>
      <c r="K370" s="42">
        <v>14752</v>
      </c>
      <c r="L370" s="42">
        <v>14752</v>
      </c>
      <c r="M370" s="42">
        <v>14752</v>
      </c>
      <c r="N370" s="42">
        <v>14752</v>
      </c>
      <c r="O370" s="42">
        <f>183702-14408+3984-14752-14752</f>
        <v>143774</v>
      </c>
      <c r="P370" s="13">
        <f t="shared" si="195"/>
        <v>247038</v>
      </c>
    </row>
    <row r="371" spans="1:16" ht="14.25" customHeight="1" x14ac:dyDescent="0.25">
      <c r="A371" s="150"/>
      <c r="B371" s="134"/>
      <c r="C371" s="135"/>
      <c r="D371" s="133"/>
      <c r="E371" s="133"/>
      <c r="F371" s="21" t="s">
        <v>449</v>
      </c>
      <c r="G371" s="14" t="s">
        <v>316</v>
      </c>
      <c r="H371" s="40">
        <v>8865</v>
      </c>
      <c r="I371" s="40">
        <v>8496</v>
      </c>
      <c r="J371" s="40">
        <v>7971</v>
      </c>
      <c r="K371" s="40">
        <v>7404</v>
      </c>
      <c r="L371" s="40">
        <v>6860</v>
      </c>
      <c r="M371" s="40">
        <v>6315</v>
      </c>
      <c r="N371" s="40">
        <v>5788</v>
      </c>
      <c r="O371" s="40">
        <v>27738</v>
      </c>
      <c r="P371" s="15">
        <f t="shared" si="195"/>
        <v>79437</v>
      </c>
    </row>
    <row r="372" spans="1:16" ht="14.25" customHeight="1" x14ac:dyDescent="0.25">
      <c r="A372" s="151"/>
      <c r="B372" s="134"/>
      <c r="C372" s="135"/>
      <c r="D372" s="133"/>
      <c r="E372" s="133"/>
      <c r="F372" s="41"/>
      <c r="G372" s="16" t="s">
        <v>14</v>
      </c>
      <c r="H372" s="17">
        <f t="shared" ref="H372:O372" si="210">SUM(H370:H371)</f>
        <v>23617</v>
      </c>
      <c r="I372" s="17">
        <f t="shared" si="210"/>
        <v>23248</v>
      </c>
      <c r="J372" s="17">
        <f t="shared" si="210"/>
        <v>22723</v>
      </c>
      <c r="K372" s="17">
        <f t="shared" si="210"/>
        <v>22156</v>
      </c>
      <c r="L372" s="17">
        <f t="shared" si="210"/>
        <v>21612</v>
      </c>
      <c r="M372" s="17">
        <f t="shared" si="210"/>
        <v>21067</v>
      </c>
      <c r="N372" s="33">
        <f t="shared" si="210"/>
        <v>20540</v>
      </c>
      <c r="O372" s="17">
        <f t="shared" si="210"/>
        <v>171512</v>
      </c>
      <c r="P372" s="18">
        <f t="shared" si="195"/>
        <v>326475</v>
      </c>
    </row>
    <row r="373" spans="1:16" ht="14.45" customHeight="1" x14ac:dyDescent="0.25">
      <c r="A373" s="149">
        <f t="shared" si="188"/>
        <v>122</v>
      </c>
      <c r="B373" s="134" t="s">
        <v>8</v>
      </c>
      <c r="C373" s="145" t="s">
        <v>721</v>
      </c>
      <c r="D373" s="158" t="s">
        <v>450</v>
      </c>
      <c r="E373" s="158" t="s">
        <v>451</v>
      </c>
      <c r="F373" s="19" t="s">
        <v>452</v>
      </c>
      <c r="G373" s="12" t="s">
        <v>12</v>
      </c>
      <c r="H373" s="42">
        <v>17952</v>
      </c>
      <c r="I373" s="42">
        <v>17952</v>
      </c>
      <c r="J373" s="42">
        <v>17952</v>
      </c>
      <c r="K373" s="42">
        <v>17952</v>
      </c>
      <c r="L373" s="42">
        <v>17952</v>
      </c>
      <c r="M373" s="42">
        <v>17952</v>
      </c>
      <c r="N373" s="43">
        <v>17952</v>
      </c>
      <c r="O373" s="42">
        <f>141280-17660+2051-17952-17952</f>
        <v>89767</v>
      </c>
      <c r="P373" s="13">
        <f t="shared" si="195"/>
        <v>215431</v>
      </c>
    </row>
    <row r="374" spans="1:16" ht="15.75" customHeight="1" x14ac:dyDescent="0.25">
      <c r="A374" s="150"/>
      <c r="B374" s="134"/>
      <c r="C374" s="145"/>
      <c r="D374" s="133"/>
      <c r="E374" s="133"/>
      <c r="F374" s="21" t="s">
        <v>453</v>
      </c>
      <c r="G374" s="14" t="s">
        <v>316</v>
      </c>
      <c r="H374" s="40">
        <v>8119</v>
      </c>
      <c r="I374" s="40">
        <v>7526</v>
      </c>
      <c r="J374" s="40">
        <v>6860</v>
      </c>
      <c r="K374" s="40">
        <v>6146</v>
      </c>
      <c r="L374" s="40">
        <v>5450</v>
      </c>
      <c r="M374" s="40">
        <v>4757</v>
      </c>
      <c r="N374" s="39">
        <v>4075</v>
      </c>
      <c r="O374" s="40">
        <v>9897</v>
      </c>
      <c r="P374" s="15">
        <f t="shared" si="195"/>
        <v>52830</v>
      </c>
    </row>
    <row r="375" spans="1:16" ht="15.75" customHeight="1" x14ac:dyDescent="0.25">
      <c r="A375" s="151"/>
      <c r="B375" s="134"/>
      <c r="C375" s="145"/>
      <c r="D375" s="133"/>
      <c r="E375" s="133"/>
      <c r="F375" s="41"/>
      <c r="G375" s="16" t="s">
        <v>14</v>
      </c>
      <c r="H375" s="17">
        <f t="shared" ref="H375:O375" si="211">SUM(H373:H374)</f>
        <v>26071</v>
      </c>
      <c r="I375" s="17">
        <f t="shared" si="211"/>
        <v>25478</v>
      </c>
      <c r="J375" s="17">
        <f t="shared" si="211"/>
        <v>24812</v>
      </c>
      <c r="K375" s="17">
        <f t="shared" si="211"/>
        <v>24098</v>
      </c>
      <c r="L375" s="17">
        <f t="shared" si="211"/>
        <v>23402</v>
      </c>
      <c r="M375" s="17">
        <f t="shared" si="211"/>
        <v>22709</v>
      </c>
      <c r="N375" s="33">
        <f t="shared" si="211"/>
        <v>22027</v>
      </c>
      <c r="O375" s="17">
        <f t="shared" si="211"/>
        <v>99664</v>
      </c>
      <c r="P375" s="18">
        <f t="shared" si="195"/>
        <v>268261</v>
      </c>
    </row>
    <row r="376" spans="1:16" ht="15.75" customHeight="1" x14ac:dyDescent="0.25">
      <c r="A376" s="149">
        <f t="shared" si="188"/>
        <v>123</v>
      </c>
      <c r="B376" s="134" t="s">
        <v>8</v>
      </c>
      <c r="C376" s="167" t="s">
        <v>454</v>
      </c>
      <c r="D376" s="158" t="s">
        <v>455</v>
      </c>
      <c r="E376" s="158" t="s">
        <v>240</v>
      </c>
      <c r="F376" s="19" t="s">
        <v>456</v>
      </c>
      <c r="G376" s="44" t="s">
        <v>12</v>
      </c>
      <c r="H376" s="43">
        <v>40952</v>
      </c>
      <c r="I376" s="43">
        <v>40952</v>
      </c>
      <c r="J376" s="43">
        <v>40952</v>
      </c>
      <c r="K376" s="43">
        <v>40952</v>
      </c>
      <c r="L376" s="43">
        <v>40952</v>
      </c>
      <c r="M376" s="43">
        <v>40952</v>
      </c>
      <c r="N376" s="43">
        <v>40952</v>
      </c>
      <c r="O376" s="43">
        <f>10238*49+10207-40952-40952</f>
        <v>429965</v>
      </c>
      <c r="P376" s="13">
        <f t="shared" si="195"/>
        <v>716629</v>
      </c>
    </row>
    <row r="377" spans="1:16" ht="15.75" customHeight="1" x14ac:dyDescent="0.25">
      <c r="A377" s="150"/>
      <c r="B377" s="134"/>
      <c r="C377" s="167"/>
      <c r="D377" s="158"/>
      <c r="E377" s="158"/>
      <c r="F377" s="21" t="s">
        <v>457</v>
      </c>
      <c r="G377" s="14" t="s">
        <v>316</v>
      </c>
      <c r="H377" s="39">
        <v>26521</v>
      </c>
      <c r="I377" s="39">
        <v>25742</v>
      </c>
      <c r="J377" s="39">
        <v>24229</v>
      </c>
      <c r="K377" s="39">
        <v>22587</v>
      </c>
      <c r="L377" s="39">
        <v>21013</v>
      </c>
      <c r="M377" s="39">
        <v>19440</v>
      </c>
      <c r="N377" s="39">
        <v>17918</v>
      </c>
      <c r="O377" s="39">
        <v>92595</v>
      </c>
      <c r="P377" s="15">
        <f t="shared" si="195"/>
        <v>250045</v>
      </c>
    </row>
    <row r="378" spans="1:16" ht="15.75" customHeight="1" x14ac:dyDescent="0.25">
      <c r="A378" s="151"/>
      <c r="B378" s="134"/>
      <c r="C378" s="167"/>
      <c r="D378" s="158"/>
      <c r="E378" s="158"/>
      <c r="F378" s="41"/>
      <c r="G378" s="45" t="s">
        <v>14</v>
      </c>
      <c r="H378" s="33">
        <f t="shared" ref="H378:O378" si="212">SUM(H376:H377)</f>
        <v>67473</v>
      </c>
      <c r="I378" s="33">
        <f t="shared" si="212"/>
        <v>66694</v>
      </c>
      <c r="J378" s="33">
        <f t="shared" si="212"/>
        <v>65181</v>
      </c>
      <c r="K378" s="33">
        <f t="shared" si="212"/>
        <v>63539</v>
      </c>
      <c r="L378" s="33">
        <f t="shared" si="212"/>
        <v>61965</v>
      </c>
      <c r="M378" s="33">
        <f t="shared" si="212"/>
        <v>60392</v>
      </c>
      <c r="N378" s="33">
        <f t="shared" si="212"/>
        <v>58870</v>
      </c>
      <c r="O378" s="33">
        <f t="shared" si="212"/>
        <v>522560</v>
      </c>
      <c r="P378" s="18">
        <f t="shared" si="195"/>
        <v>966674</v>
      </c>
    </row>
    <row r="379" spans="1:16" ht="15.75" customHeight="1" x14ac:dyDescent="0.25">
      <c r="A379" s="149">
        <f t="shared" si="188"/>
        <v>124</v>
      </c>
      <c r="B379" s="134" t="s">
        <v>8</v>
      </c>
      <c r="C379" s="145" t="s">
        <v>722</v>
      </c>
      <c r="D379" s="170" t="s">
        <v>458</v>
      </c>
      <c r="E379" s="170" t="s">
        <v>459</v>
      </c>
      <c r="F379" s="19" t="s">
        <v>460</v>
      </c>
      <c r="G379" s="44" t="s">
        <v>12</v>
      </c>
      <c r="H379" s="43">
        <v>8689</v>
      </c>
      <c r="I379" s="43">
        <v>8689</v>
      </c>
      <c r="J379" s="43">
        <v>8689</v>
      </c>
      <c r="K379" s="43">
        <v>8689</v>
      </c>
      <c r="L379" s="43">
        <v>8689</v>
      </c>
      <c r="M379" s="43">
        <v>8689</v>
      </c>
      <c r="N379" s="43">
        <v>8689</v>
      </c>
      <c r="O379" s="43">
        <f>71681-60823-8689</f>
        <v>2169</v>
      </c>
      <c r="P379" s="13">
        <f t="shared" si="195"/>
        <v>62992</v>
      </c>
    </row>
    <row r="380" spans="1:16" ht="15.75" customHeight="1" x14ac:dyDescent="0.25">
      <c r="A380" s="150"/>
      <c r="B380" s="134"/>
      <c r="C380" s="145"/>
      <c r="D380" s="171"/>
      <c r="E380" s="171"/>
      <c r="F380" s="21" t="s">
        <v>461</v>
      </c>
      <c r="G380" s="14" t="s">
        <v>316</v>
      </c>
      <c r="H380" s="39">
        <v>2009</v>
      </c>
      <c r="I380" s="39">
        <v>1785</v>
      </c>
      <c r="J380" s="39">
        <v>1496</v>
      </c>
      <c r="K380" s="39">
        <v>1198</v>
      </c>
      <c r="L380" s="39">
        <v>906</v>
      </c>
      <c r="M380" s="39">
        <v>613</v>
      </c>
      <c r="N380" s="39">
        <v>322</v>
      </c>
      <c r="O380" s="39">
        <v>50</v>
      </c>
      <c r="P380" s="15">
        <f t="shared" si="195"/>
        <v>8379</v>
      </c>
    </row>
    <row r="381" spans="1:16" ht="15.75" customHeight="1" x14ac:dyDescent="0.25">
      <c r="A381" s="151"/>
      <c r="B381" s="134"/>
      <c r="C381" s="145"/>
      <c r="D381" s="171"/>
      <c r="E381" s="171"/>
      <c r="F381" s="41"/>
      <c r="G381" s="45" t="s">
        <v>14</v>
      </c>
      <c r="H381" s="33">
        <f t="shared" ref="H381:O381" si="213">SUM(H379:H380)</f>
        <v>10698</v>
      </c>
      <c r="I381" s="33">
        <f t="shared" si="213"/>
        <v>10474</v>
      </c>
      <c r="J381" s="33">
        <f t="shared" si="213"/>
        <v>10185</v>
      </c>
      <c r="K381" s="33">
        <f t="shared" si="213"/>
        <v>9887</v>
      </c>
      <c r="L381" s="33">
        <f t="shared" si="213"/>
        <v>9595</v>
      </c>
      <c r="M381" s="33">
        <f t="shared" si="213"/>
        <v>9302</v>
      </c>
      <c r="N381" s="33">
        <f t="shared" si="213"/>
        <v>9011</v>
      </c>
      <c r="O381" s="33">
        <f t="shared" si="213"/>
        <v>2219</v>
      </c>
      <c r="P381" s="18">
        <f t="shared" si="195"/>
        <v>71371</v>
      </c>
    </row>
    <row r="382" spans="1:16" ht="15.75" customHeight="1" x14ac:dyDescent="0.25">
      <c r="A382" s="149">
        <f t="shared" ref="A382:A445" si="214">A379+1</f>
        <v>125</v>
      </c>
      <c r="B382" s="134" t="s">
        <v>8</v>
      </c>
      <c r="C382" s="145" t="s">
        <v>723</v>
      </c>
      <c r="D382" s="170" t="s">
        <v>458</v>
      </c>
      <c r="E382" s="170" t="s">
        <v>240</v>
      </c>
      <c r="F382" s="19" t="s">
        <v>462</v>
      </c>
      <c r="G382" s="44" t="s">
        <v>12</v>
      </c>
      <c r="H382" s="43">
        <v>16880</v>
      </c>
      <c r="I382" s="43">
        <v>16880</v>
      </c>
      <c r="J382" s="43">
        <v>16880</v>
      </c>
      <c r="K382" s="43">
        <v>16880</v>
      </c>
      <c r="L382" s="43">
        <v>16880</v>
      </c>
      <c r="M382" s="43">
        <v>16880</v>
      </c>
      <c r="N382" s="43">
        <v>16880</v>
      </c>
      <c r="O382" s="43">
        <f>4220*49+4170-16880-16880</f>
        <v>177190</v>
      </c>
      <c r="P382" s="13">
        <f t="shared" si="195"/>
        <v>295350</v>
      </c>
    </row>
    <row r="383" spans="1:16" ht="15.75" customHeight="1" x14ac:dyDescent="0.25">
      <c r="A383" s="150"/>
      <c r="B383" s="134"/>
      <c r="C383" s="145"/>
      <c r="D383" s="171"/>
      <c r="E383" s="171"/>
      <c r="F383" s="21" t="s">
        <v>463</v>
      </c>
      <c r="G383" s="14" t="s">
        <v>316</v>
      </c>
      <c r="H383" s="39">
        <v>10930</v>
      </c>
      <c r="I383" s="39">
        <v>10609</v>
      </c>
      <c r="J383" s="39">
        <v>9986</v>
      </c>
      <c r="K383" s="39">
        <v>9309</v>
      </c>
      <c r="L383" s="39">
        <v>8660</v>
      </c>
      <c r="M383" s="39">
        <v>8011</v>
      </c>
      <c r="N383" s="39">
        <v>7384</v>
      </c>
      <c r="O383" s="39">
        <v>38151</v>
      </c>
      <c r="P383" s="15">
        <f t="shared" si="195"/>
        <v>103040</v>
      </c>
    </row>
    <row r="384" spans="1:16" ht="15.75" customHeight="1" x14ac:dyDescent="0.25">
      <c r="A384" s="151"/>
      <c r="B384" s="134"/>
      <c r="C384" s="145"/>
      <c r="D384" s="171"/>
      <c r="E384" s="171"/>
      <c r="F384" s="41"/>
      <c r="G384" s="45" t="s">
        <v>14</v>
      </c>
      <c r="H384" s="33">
        <f t="shared" ref="H384:O384" si="215">SUM(H382:H383)</f>
        <v>27810</v>
      </c>
      <c r="I384" s="33">
        <f t="shared" si="215"/>
        <v>27489</v>
      </c>
      <c r="J384" s="33">
        <f t="shared" si="215"/>
        <v>26866</v>
      </c>
      <c r="K384" s="33">
        <f t="shared" si="215"/>
        <v>26189</v>
      </c>
      <c r="L384" s="33">
        <f t="shared" si="215"/>
        <v>25540</v>
      </c>
      <c r="M384" s="33">
        <f t="shared" si="215"/>
        <v>24891</v>
      </c>
      <c r="N384" s="33">
        <f t="shared" si="215"/>
        <v>24264</v>
      </c>
      <c r="O384" s="33">
        <f t="shared" si="215"/>
        <v>215341</v>
      </c>
      <c r="P384" s="18">
        <f t="shared" si="195"/>
        <v>398390</v>
      </c>
    </row>
    <row r="385" spans="1:16" ht="15.75" customHeight="1" x14ac:dyDescent="0.25">
      <c r="A385" s="149">
        <f t="shared" si="214"/>
        <v>126</v>
      </c>
      <c r="B385" s="172" t="s">
        <v>8</v>
      </c>
      <c r="C385" s="167" t="s">
        <v>735</v>
      </c>
      <c r="D385" s="158" t="s">
        <v>464</v>
      </c>
      <c r="E385" s="158" t="s">
        <v>465</v>
      </c>
      <c r="F385" s="12" t="s">
        <v>466</v>
      </c>
      <c r="G385" s="44" t="s">
        <v>12</v>
      </c>
      <c r="H385" s="43">
        <f>3683*4</f>
        <v>14732</v>
      </c>
      <c r="I385" s="43">
        <f>3683*4</f>
        <v>14732</v>
      </c>
      <c r="J385" s="43">
        <f>3683*4</f>
        <v>14732</v>
      </c>
      <c r="K385" s="43">
        <f>3683*4</f>
        <v>14732</v>
      </c>
      <c r="L385" s="43">
        <v>14732</v>
      </c>
      <c r="M385" s="43">
        <v>14732</v>
      </c>
      <c r="N385" s="43">
        <v>14732</v>
      </c>
      <c r="O385" s="43">
        <f>198835-73660-14732-14732-14732</f>
        <v>80979</v>
      </c>
      <c r="P385" s="13">
        <f t="shared" si="195"/>
        <v>184103</v>
      </c>
    </row>
    <row r="386" spans="1:16" ht="15.75" customHeight="1" x14ac:dyDescent="0.25">
      <c r="A386" s="150"/>
      <c r="B386" s="172"/>
      <c r="C386" s="173"/>
      <c r="D386" s="133"/>
      <c r="E386" s="133"/>
      <c r="F386" s="14" t="s">
        <v>467</v>
      </c>
      <c r="G386" s="14" t="s">
        <v>316</v>
      </c>
      <c r="H386" s="39">
        <v>6306</v>
      </c>
      <c r="I386" s="39">
        <v>5982</v>
      </c>
      <c r="J386" s="39">
        <v>5469</v>
      </c>
      <c r="K386" s="39">
        <v>4926</v>
      </c>
      <c r="L386" s="39">
        <v>4398</v>
      </c>
      <c r="M386" s="39">
        <v>3872</v>
      </c>
      <c r="N386" s="39">
        <v>3355</v>
      </c>
      <c r="O386" s="39">
        <v>8999</v>
      </c>
      <c r="P386" s="15">
        <f t="shared" si="195"/>
        <v>43307</v>
      </c>
    </row>
    <row r="387" spans="1:16" ht="15.75" customHeight="1" x14ac:dyDescent="0.25">
      <c r="A387" s="151"/>
      <c r="B387" s="172"/>
      <c r="C387" s="173"/>
      <c r="D387" s="133"/>
      <c r="E387" s="133"/>
      <c r="F387" s="41"/>
      <c r="G387" s="16" t="s">
        <v>14</v>
      </c>
      <c r="H387" s="33">
        <f t="shared" ref="H387:O387" si="216">SUM(H385:H386)</f>
        <v>21038</v>
      </c>
      <c r="I387" s="33">
        <f t="shared" si="216"/>
        <v>20714</v>
      </c>
      <c r="J387" s="33">
        <f t="shared" si="216"/>
        <v>20201</v>
      </c>
      <c r="K387" s="33">
        <f t="shared" si="216"/>
        <v>19658</v>
      </c>
      <c r="L387" s="33">
        <f t="shared" si="216"/>
        <v>19130</v>
      </c>
      <c r="M387" s="33">
        <f t="shared" si="216"/>
        <v>18604</v>
      </c>
      <c r="N387" s="33">
        <f t="shared" si="216"/>
        <v>18087</v>
      </c>
      <c r="O387" s="33">
        <f t="shared" si="216"/>
        <v>89978</v>
      </c>
      <c r="P387" s="18">
        <f t="shared" si="195"/>
        <v>227410</v>
      </c>
    </row>
    <row r="388" spans="1:16" ht="14.25" customHeight="1" x14ac:dyDescent="0.25">
      <c r="A388" s="149">
        <f t="shared" si="214"/>
        <v>127</v>
      </c>
      <c r="B388" s="134" t="s">
        <v>8</v>
      </c>
      <c r="C388" s="167" t="s">
        <v>468</v>
      </c>
      <c r="D388" s="158" t="s">
        <v>464</v>
      </c>
      <c r="E388" s="158" t="s">
        <v>465</v>
      </c>
      <c r="F388" s="12" t="s">
        <v>469</v>
      </c>
      <c r="G388" s="44" t="s">
        <v>12</v>
      </c>
      <c r="H388" s="43">
        <f t="shared" ref="H388:L388" si="217">12331*4</f>
        <v>49324</v>
      </c>
      <c r="I388" s="43">
        <f t="shared" si="217"/>
        <v>49324</v>
      </c>
      <c r="J388" s="43">
        <f t="shared" si="217"/>
        <v>49324</v>
      </c>
      <c r="K388" s="43">
        <f t="shared" si="217"/>
        <v>49324</v>
      </c>
      <c r="L388" s="43">
        <f t="shared" si="217"/>
        <v>49324</v>
      </c>
      <c r="M388" s="43">
        <v>49324</v>
      </c>
      <c r="N388" s="43">
        <v>49324</v>
      </c>
      <c r="O388" s="43">
        <f>665838-246620-49324-49324-49324</f>
        <v>271246</v>
      </c>
      <c r="P388" s="13">
        <f t="shared" si="195"/>
        <v>616514</v>
      </c>
    </row>
    <row r="389" spans="1:16" ht="13.5" customHeight="1" x14ac:dyDescent="0.25">
      <c r="A389" s="150"/>
      <c r="B389" s="134"/>
      <c r="C389" s="173"/>
      <c r="D389" s="133"/>
      <c r="E389" s="133"/>
      <c r="F389" s="14" t="s">
        <v>470</v>
      </c>
      <c r="G389" s="14" t="s">
        <v>316</v>
      </c>
      <c r="H389" s="39">
        <v>21118</v>
      </c>
      <c r="I389" s="39">
        <v>20033</v>
      </c>
      <c r="J389" s="39">
        <v>18314</v>
      </c>
      <c r="K389" s="39">
        <v>16497</v>
      </c>
      <c r="L389" s="39">
        <v>14731</v>
      </c>
      <c r="M389" s="39">
        <v>12968</v>
      </c>
      <c r="N389" s="39">
        <v>11237</v>
      </c>
      <c r="O389" s="39">
        <v>30155</v>
      </c>
      <c r="P389" s="15">
        <f t="shared" si="195"/>
        <v>145053</v>
      </c>
    </row>
    <row r="390" spans="1:16" ht="15.75" customHeight="1" x14ac:dyDescent="0.25">
      <c r="A390" s="151"/>
      <c r="B390" s="134"/>
      <c r="C390" s="173"/>
      <c r="D390" s="133"/>
      <c r="E390" s="133"/>
      <c r="F390" s="41"/>
      <c r="G390" s="16" t="s">
        <v>14</v>
      </c>
      <c r="H390" s="33">
        <f t="shared" ref="H390:O390" si="218">SUM(H388:H389)</f>
        <v>70442</v>
      </c>
      <c r="I390" s="33">
        <f t="shared" si="218"/>
        <v>69357</v>
      </c>
      <c r="J390" s="33">
        <f t="shared" si="218"/>
        <v>67638</v>
      </c>
      <c r="K390" s="33">
        <f t="shared" si="218"/>
        <v>65821</v>
      </c>
      <c r="L390" s="33">
        <f t="shared" si="218"/>
        <v>64055</v>
      </c>
      <c r="M390" s="33">
        <f t="shared" si="218"/>
        <v>62292</v>
      </c>
      <c r="N390" s="33">
        <f t="shared" si="218"/>
        <v>60561</v>
      </c>
      <c r="O390" s="33">
        <f t="shared" si="218"/>
        <v>301401</v>
      </c>
      <c r="P390" s="18">
        <f t="shared" si="195"/>
        <v>761567</v>
      </c>
    </row>
    <row r="391" spans="1:16" ht="15.75" customHeight="1" x14ac:dyDescent="0.25">
      <c r="A391" s="149">
        <f t="shared" si="214"/>
        <v>128</v>
      </c>
      <c r="B391" s="134" t="s">
        <v>8</v>
      </c>
      <c r="C391" s="167" t="s">
        <v>471</v>
      </c>
      <c r="D391" s="158" t="s">
        <v>464</v>
      </c>
      <c r="E391" s="158" t="s">
        <v>465</v>
      </c>
      <c r="F391" s="12" t="s">
        <v>472</v>
      </c>
      <c r="G391" s="44" t="s">
        <v>12</v>
      </c>
      <c r="H391" s="43">
        <f t="shared" ref="H391:L391" si="219">11045*4</f>
        <v>44180</v>
      </c>
      <c r="I391" s="43">
        <f t="shared" si="219"/>
        <v>44180</v>
      </c>
      <c r="J391" s="43">
        <f t="shared" si="219"/>
        <v>44180</v>
      </c>
      <c r="K391" s="43">
        <f t="shared" si="219"/>
        <v>44180</v>
      </c>
      <c r="L391" s="43">
        <f t="shared" si="219"/>
        <v>44180</v>
      </c>
      <c r="M391" s="43">
        <v>44180</v>
      </c>
      <c r="N391" s="43">
        <v>44180</v>
      </c>
      <c r="O391" s="43">
        <f>596420-220900-44180-44180-44180</f>
        <v>242980</v>
      </c>
      <c r="P391" s="13">
        <f t="shared" si="195"/>
        <v>552240</v>
      </c>
    </row>
    <row r="392" spans="1:16" ht="15.75" customHeight="1" x14ac:dyDescent="0.25">
      <c r="A392" s="150"/>
      <c r="B392" s="134"/>
      <c r="C392" s="173"/>
      <c r="D392" s="133"/>
      <c r="E392" s="133"/>
      <c r="F392" s="14" t="s">
        <v>473</v>
      </c>
      <c r="G392" s="14" t="s">
        <v>316</v>
      </c>
      <c r="H392" s="39">
        <v>18916</v>
      </c>
      <c r="I392" s="39">
        <v>17945</v>
      </c>
      <c r="J392" s="39">
        <v>16404</v>
      </c>
      <c r="K392" s="39">
        <v>14777</v>
      </c>
      <c r="L392" s="39">
        <v>13196</v>
      </c>
      <c r="M392" s="39">
        <v>11616</v>
      </c>
      <c r="N392" s="39">
        <v>10066</v>
      </c>
      <c r="O392" s="39">
        <v>27015</v>
      </c>
      <c r="P392" s="15">
        <f t="shared" si="195"/>
        <v>129935</v>
      </c>
    </row>
    <row r="393" spans="1:16" ht="15.75" customHeight="1" x14ac:dyDescent="0.25">
      <c r="A393" s="151"/>
      <c r="B393" s="134"/>
      <c r="C393" s="173"/>
      <c r="D393" s="133"/>
      <c r="E393" s="133"/>
      <c r="F393" s="41"/>
      <c r="G393" s="16" t="s">
        <v>14</v>
      </c>
      <c r="H393" s="33">
        <f t="shared" ref="H393:O393" si="220">SUM(H391:H392)</f>
        <v>63096</v>
      </c>
      <c r="I393" s="33">
        <f t="shared" si="220"/>
        <v>62125</v>
      </c>
      <c r="J393" s="33">
        <f t="shared" si="220"/>
        <v>60584</v>
      </c>
      <c r="K393" s="33">
        <f t="shared" si="220"/>
        <v>58957</v>
      </c>
      <c r="L393" s="33">
        <f t="shared" si="220"/>
        <v>57376</v>
      </c>
      <c r="M393" s="33">
        <f t="shared" si="220"/>
        <v>55796</v>
      </c>
      <c r="N393" s="33">
        <f t="shared" si="220"/>
        <v>54246</v>
      </c>
      <c r="O393" s="33">
        <f t="shared" si="220"/>
        <v>269995</v>
      </c>
      <c r="P393" s="18">
        <f t="shared" si="195"/>
        <v>682175</v>
      </c>
    </row>
    <row r="394" spans="1:16" ht="15.75" customHeight="1" x14ac:dyDescent="0.25">
      <c r="A394" s="149">
        <f t="shared" si="214"/>
        <v>129</v>
      </c>
      <c r="B394" s="134" t="s">
        <v>8</v>
      </c>
      <c r="C394" s="167" t="s">
        <v>474</v>
      </c>
      <c r="D394" s="158" t="s">
        <v>464</v>
      </c>
      <c r="E394" s="158" t="s">
        <v>56</v>
      </c>
      <c r="F394" s="12" t="s">
        <v>475</v>
      </c>
      <c r="G394" s="44" t="s">
        <v>12</v>
      </c>
      <c r="H394" s="43">
        <f t="shared" ref="H394:L394" si="221">3808*4</f>
        <v>15232</v>
      </c>
      <c r="I394" s="43">
        <f t="shared" si="221"/>
        <v>15232</v>
      </c>
      <c r="J394" s="43">
        <f t="shared" si="221"/>
        <v>15232</v>
      </c>
      <c r="K394" s="43">
        <f t="shared" si="221"/>
        <v>15232</v>
      </c>
      <c r="L394" s="43">
        <f t="shared" si="221"/>
        <v>15232</v>
      </c>
      <c r="M394" s="43">
        <v>15232</v>
      </c>
      <c r="N394" s="43">
        <v>15232</v>
      </c>
      <c r="O394" s="43">
        <f>137087-83776-15232-15232-15232</f>
        <v>7615</v>
      </c>
      <c r="P394" s="13">
        <f t="shared" ref="P394:P457" si="222">SUM(H394:O394)</f>
        <v>114239</v>
      </c>
    </row>
    <row r="395" spans="1:16" ht="15.75" customHeight="1" x14ac:dyDescent="0.25">
      <c r="A395" s="150"/>
      <c r="B395" s="134"/>
      <c r="C395" s="173"/>
      <c r="D395" s="133"/>
      <c r="E395" s="133"/>
      <c r="F395" s="14" t="s">
        <v>476</v>
      </c>
      <c r="G395" s="14" t="s">
        <v>316</v>
      </c>
      <c r="H395" s="39">
        <v>3647</v>
      </c>
      <c r="I395" s="39">
        <v>3259</v>
      </c>
      <c r="J395" s="39">
        <v>2751</v>
      </c>
      <c r="K395" s="39">
        <v>2230</v>
      </c>
      <c r="L395" s="39">
        <v>1717</v>
      </c>
      <c r="M395" s="39">
        <v>1204</v>
      </c>
      <c r="N395" s="39">
        <v>694</v>
      </c>
      <c r="O395" s="39">
        <v>180</v>
      </c>
      <c r="P395" s="15">
        <f t="shared" si="222"/>
        <v>15682</v>
      </c>
    </row>
    <row r="396" spans="1:16" ht="15.75" customHeight="1" x14ac:dyDescent="0.25">
      <c r="A396" s="151"/>
      <c r="B396" s="134"/>
      <c r="C396" s="173"/>
      <c r="D396" s="133"/>
      <c r="E396" s="133"/>
      <c r="F396" s="41"/>
      <c r="G396" s="16" t="s">
        <v>14</v>
      </c>
      <c r="H396" s="33">
        <f t="shared" ref="H396:O396" si="223">SUM(H394:H395)</f>
        <v>18879</v>
      </c>
      <c r="I396" s="33">
        <f t="shared" si="223"/>
        <v>18491</v>
      </c>
      <c r="J396" s="33">
        <f t="shared" si="223"/>
        <v>17983</v>
      </c>
      <c r="K396" s="33">
        <f t="shared" si="223"/>
        <v>17462</v>
      </c>
      <c r="L396" s="33">
        <f t="shared" si="223"/>
        <v>16949</v>
      </c>
      <c r="M396" s="33">
        <f t="shared" si="223"/>
        <v>16436</v>
      </c>
      <c r="N396" s="33">
        <f t="shared" si="223"/>
        <v>15926</v>
      </c>
      <c r="O396" s="33">
        <f t="shared" si="223"/>
        <v>7795</v>
      </c>
      <c r="P396" s="18">
        <f t="shared" si="222"/>
        <v>129921</v>
      </c>
    </row>
    <row r="397" spans="1:16" ht="15.75" customHeight="1" x14ac:dyDescent="0.25">
      <c r="A397" s="149">
        <f t="shared" si="214"/>
        <v>130</v>
      </c>
      <c r="B397" s="134" t="s">
        <v>8</v>
      </c>
      <c r="C397" s="174" t="s">
        <v>744</v>
      </c>
      <c r="D397" s="158" t="s">
        <v>464</v>
      </c>
      <c r="E397" s="158" t="s">
        <v>465</v>
      </c>
      <c r="F397" s="12" t="s">
        <v>477</v>
      </c>
      <c r="G397" s="44" t="s">
        <v>12</v>
      </c>
      <c r="H397" s="43">
        <v>22280</v>
      </c>
      <c r="I397" s="43">
        <v>22280</v>
      </c>
      <c r="J397" s="43">
        <v>22280</v>
      </c>
      <c r="K397" s="43">
        <v>22280</v>
      </c>
      <c r="L397" s="43">
        <v>22280</v>
      </c>
      <c r="M397" s="43">
        <v>22280</v>
      </c>
      <c r="N397" s="43">
        <v>22280</v>
      </c>
      <c r="O397" s="43">
        <f>5570*30-1-22280-22280</f>
        <v>122539</v>
      </c>
      <c r="P397" s="13">
        <f t="shared" si="222"/>
        <v>278499</v>
      </c>
    </row>
    <row r="398" spans="1:16" ht="15.75" customHeight="1" x14ac:dyDescent="0.25">
      <c r="A398" s="150"/>
      <c r="B398" s="134"/>
      <c r="C398" s="174"/>
      <c r="D398" s="133"/>
      <c r="E398" s="133"/>
      <c r="F398" s="46" t="s">
        <v>478</v>
      </c>
      <c r="G398" s="14" t="s">
        <v>316</v>
      </c>
      <c r="H398" s="39">
        <v>9539</v>
      </c>
      <c r="I398" s="39">
        <v>9050</v>
      </c>
      <c r="J398" s="39">
        <v>8273</v>
      </c>
      <c r="K398" s="39">
        <v>7452</v>
      </c>
      <c r="L398" s="39">
        <v>6654</v>
      </c>
      <c r="M398" s="39">
        <v>5858</v>
      </c>
      <c r="N398" s="39">
        <v>5076</v>
      </c>
      <c r="O398" s="39">
        <v>13625</v>
      </c>
      <c r="P398" s="15">
        <f t="shared" si="222"/>
        <v>65527</v>
      </c>
    </row>
    <row r="399" spans="1:16" ht="15.75" customHeight="1" x14ac:dyDescent="0.25">
      <c r="A399" s="151"/>
      <c r="B399" s="134"/>
      <c r="C399" s="174"/>
      <c r="D399" s="133"/>
      <c r="E399" s="133"/>
      <c r="F399" s="41"/>
      <c r="G399" s="16" t="s">
        <v>14</v>
      </c>
      <c r="H399" s="33">
        <f t="shared" ref="H399:O399" si="224">SUM(H397:H398)</f>
        <v>31819</v>
      </c>
      <c r="I399" s="33">
        <f t="shared" si="224"/>
        <v>31330</v>
      </c>
      <c r="J399" s="33">
        <f t="shared" si="224"/>
        <v>30553</v>
      </c>
      <c r="K399" s="33">
        <f t="shared" si="224"/>
        <v>29732</v>
      </c>
      <c r="L399" s="33">
        <f t="shared" si="224"/>
        <v>28934</v>
      </c>
      <c r="M399" s="33">
        <f t="shared" si="224"/>
        <v>28138</v>
      </c>
      <c r="N399" s="33">
        <f t="shared" si="224"/>
        <v>27356</v>
      </c>
      <c r="O399" s="33">
        <f t="shared" si="224"/>
        <v>136164</v>
      </c>
      <c r="P399" s="18">
        <f t="shared" si="222"/>
        <v>344026</v>
      </c>
    </row>
    <row r="400" spans="1:16" ht="15.75" customHeight="1" x14ac:dyDescent="0.25">
      <c r="A400" s="149">
        <f t="shared" si="214"/>
        <v>131</v>
      </c>
      <c r="B400" s="134" t="s">
        <v>8</v>
      </c>
      <c r="C400" s="167" t="s">
        <v>479</v>
      </c>
      <c r="D400" s="158" t="s">
        <v>464</v>
      </c>
      <c r="E400" s="158" t="s">
        <v>465</v>
      </c>
      <c r="F400" s="12" t="s">
        <v>480</v>
      </c>
      <c r="G400" s="44" t="s">
        <v>12</v>
      </c>
      <c r="H400" s="43">
        <f t="shared" ref="H400:L400" si="225">4327*4</f>
        <v>17308</v>
      </c>
      <c r="I400" s="43">
        <f t="shared" si="225"/>
        <v>17308</v>
      </c>
      <c r="J400" s="43">
        <f t="shared" si="225"/>
        <v>17308</v>
      </c>
      <c r="K400" s="43">
        <f t="shared" si="225"/>
        <v>17308</v>
      </c>
      <c r="L400" s="43">
        <f t="shared" si="225"/>
        <v>17308</v>
      </c>
      <c r="M400" s="43">
        <v>17308</v>
      </c>
      <c r="N400" s="43">
        <v>17308</v>
      </c>
      <c r="O400" s="43">
        <f>155761-95194-17308-17308-17308</f>
        <v>8643</v>
      </c>
      <c r="P400" s="13">
        <f t="shared" si="222"/>
        <v>129799</v>
      </c>
    </row>
    <row r="401" spans="1:16" ht="15.75" customHeight="1" x14ac:dyDescent="0.25">
      <c r="A401" s="150"/>
      <c r="B401" s="134"/>
      <c r="C401" s="173"/>
      <c r="D401" s="133"/>
      <c r="E401" s="133"/>
      <c r="F401" s="14" t="s">
        <v>481</v>
      </c>
      <c r="G401" s="14" t="s">
        <v>316</v>
      </c>
      <c r="H401" s="39">
        <v>4144</v>
      </c>
      <c r="I401" s="39">
        <v>3702</v>
      </c>
      <c r="J401" s="39">
        <v>3126</v>
      </c>
      <c r="K401" s="39">
        <v>2534</v>
      </c>
      <c r="L401" s="39">
        <v>1950</v>
      </c>
      <c r="M401" s="39">
        <v>1367</v>
      </c>
      <c r="N401" s="39">
        <v>787</v>
      </c>
      <c r="O401" s="39">
        <v>205</v>
      </c>
      <c r="P401" s="15">
        <f t="shared" si="222"/>
        <v>17815</v>
      </c>
    </row>
    <row r="402" spans="1:16" ht="15.75" customHeight="1" x14ac:dyDescent="0.25">
      <c r="A402" s="151"/>
      <c r="B402" s="134"/>
      <c r="C402" s="173"/>
      <c r="D402" s="133"/>
      <c r="E402" s="133"/>
      <c r="F402" s="41"/>
      <c r="G402" s="16" t="s">
        <v>14</v>
      </c>
      <c r="H402" s="33">
        <f t="shared" ref="H402:O402" si="226">SUM(H400:H401)</f>
        <v>21452</v>
      </c>
      <c r="I402" s="33">
        <f t="shared" si="226"/>
        <v>21010</v>
      </c>
      <c r="J402" s="33">
        <f t="shared" si="226"/>
        <v>20434</v>
      </c>
      <c r="K402" s="33">
        <f t="shared" si="226"/>
        <v>19842</v>
      </c>
      <c r="L402" s="33">
        <f t="shared" si="226"/>
        <v>19258</v>
      </c>
      <c r="M402" s="33">
        <f t="shared" si="226"/>
        <v>18675</v>
      </c>
      <c r="N402" s="33">
        <f t="shared" si="226"/>
        <v>18095</v>
      </c>
      <c r="O402" s="33">
        <f t="shared" si="226"/>
        <v>8848</v>
      </c>
      <c r="P402" s="18">
        <f t="shared" si="222"/>
        <v>147614</v>
      </c>
    </row>
    <row r="403" spans="1:16" ht="15.75" customHeight="1" x14ac:dyDescent="0.25">
      <c r="A403" s="149">
        <f t="shared" si="214"/>
        <v>132</v>
      </c>
      <c r="B403" s="134" t="s">
        <v>8</v>
      </c>
      <c r="C403" s="167" t="s">
        <v>482</v>
      </c>
      <c r="D403" s="158" t="s">
        <v>483</v>
      </c>
      <c r="E403" s="158" t="s">
        <v>247</v>
      </c>
      <c r="F403" s="12" t="s">
        <v>484</v>
      </c>
      <c r="G403" s="44" t="s">
        <v>12</v>
      </c>
      <c r="H403" s="43">
        <v>36932</v>
      </c>
      <c r="I403" s="43">
        <v>36932</v>
      </c>
      <c r="J403" s="43">
        <v>36932</v>
      </c>
      <c r="K403" s="43">
        <v>36932</v>
      </c>
      <c r="L403" s="43">
        <v>36932</v>
      </c>
      <c r="M403" s="43">
        <v>36932</v>
      </c>
      <c r="N403" s="43">
        <v>36932</v>
      </c>
      <c r="O403" s="43">
        <f>9233*29+9191-36932-36932</f>
        <v>203084</v>
      </c>
      <c r="P403" s="13">
        <f t="shared" si="222"/>
        <v>461608</v>
      </c>
    </row>
    <row r="404" spans="1:16" ht="15.75" customHeight="1" x14ac:dyDescent="0.25">
      <c r="A404" s="150"/>
      <c r="B404" s="134"/>
      <c r="C404" s="173"/>
      <c r="D404" s="133"/>
      <c r="E404" s="133"/>
      <c r="F404" s="14" t="s">
        <v>485</v>
      </c>
      <c r="G404" s="14" t="s">
        <v>316</v>
      </c>
      <c r="H404" s="39">
        <v>15811</v>
      </c>
      <c r="I404" s="39">
        <v>15000</v>
      </c>
      <c r="J404" s="39">
        <v>13712</v>
      </c>
      <c r="K404" s="39">
        <v>12352</v>
      </c>
      <c r="L404" s="39">
        <v>11029</v>
      </c>
      <c r="M404" s="39">
        <v>9709</v>
      </c>
      <c r="N404" s="39">
        <v>8413</v>
      </c>
      <c r="O404" s="39">
        <v>22576</v>
      </c>
      <c r="P404" s="15">
        <f t="shared" si="222"/>
        <v>108602</v>
      </c>
    </row>
    <row r="405" spans="1:16" ht="15.75" customHeight="1" x14ac:dyDescent="0.25">
      <c r="A405" s="151"/>
      <c r="B405" s="134"/>
      <c r="C405" s="173"/>
      <c r="D405" s="133"/>
      <c r="E405" s="133"/>
      <c r="F405" s="41"/>
      <c r="G405" s="16" t="s">
        <v>14</v>
      </c>
      <c r="H405" s="33">
        <f t="shared" ref="H405:O405" si="227">SUM(H403:H404)</f>
        <v>52743</v>
      </c>
      <c r="I405" s="33">
        <f t="shared" si="227"/>
        <v>51932</v>
      </c>
      <c r="J405" s="33">
        <f t="shared" si="227"/>
        <v>50644</v>
      </c>
      <c r="K405" s="33">
        <f t="shared" si="227"/>
        <v>49284</v>
      </c>
      <c r="L405" s="33">
        <f t="shared" si="227"/>
        <v>47961</v>
      </c>
      <c r="M405" s="33">
        <f t="shared" si="227"/>
        <v>46641</v>
      </c>
      <c r="N405" s="33">
        <f t="shared" si="227"/>
        <v>45345</v>
      </c>
      <c r="O405" s="33">
        <f t="shared" si="227"/>
        <v>225660</v>
      </c>
      <c r="P405" s="18">
        <f t="shared" si="222"/>
        <v>570210</v>
      </c>
    </row>
    <row r="406" spans="1:16" ht="15" customHeight="1" x14ac:dyDescent="0.25">
      <c r="A406" s="149">
        <f t="shared" si="214"/>
        <v>133</v>
      </c>
      <c r="B406" s="134" t="s">
        <v>8</v>
      </c>
      <c r="C406" s="175" t="s">
        <v>724</v>
      </c>
      <c r="D406" s="158" t="s">
        <v>486</v>
      </c>
      <c r="E406" s="158" t="s">
        <v>487</v>
      </c>
      <c r="F406" s="19" t="s">
        <v>488</v>
      </c>
      <c r="G406" s="44" t="s">
        <v>12</v>
      </c>
      <c r="H406" s="43">
        <v>160130</v>
      </c>
      <c r="I406" s="43">
        <v>160130</v>
      </c>
      <c r="J406" s="43">
        <v>160130</v>
      </c>
      <c r="K406" s="43">
        <v>160130</v>
      </c>
      <c r="L406" s="43">
        <v>160130</v>
      </c>
      <c r="M406" s="43">
        <v>160130</v>
      </c>
      <c r="N406" s="43">
        <v>160130</v>
      </c>
      <c r="O406" s="43">
        <f>2201793-1120910-160130</f>
        <v>920753</v>
      </c>
      <c r="P406" s="13">
        <f t="shared" si="222"/>
        <v>2041663</v>
      </c>
    </row>
    <row r="407" spans="1:16" ht="15.75" customHeight="1" x14ac:dyDescent="0.25">
      <c r="A407" s="150"/>
      <c r="B407" s="134"/>
      <c r="C407" s="175"/>
      <c r="D407" s="133"/>
      <c r="E407" s="133"/>
      <c r="F407" s="21" t="s">
        <v>489</v>
      </c>
      <c r="G407" s="14" t="s">
        <v>316</v>
      </c>
      <c r="H407" s="39">
        <v>69951</v>
      </c>
      <c r="I407" s="39">
        <v>66476</v>
      </c>
      <c r="J407" s="39">
        <v>60896</v>
      </c>
      <c r="K407" s="39">
        <v>54995</v>
      </c>
      <c r="L407" s="39">
        <v>49262</v>
      </c>
      <c r="M407" s="39">
        <v>43537</v>
      </c>
      <c r="N407" s="39">
        <v>37922</v>
      </c>
      <c r="O407" s="39">
        <v>106240</v>
      </c>
      <c r="P407" s="15">
        <f t="shared" si="222"/>
        <v>489279</v>
      </c>
    </row>
    <row r="408" spans="1:16" ht="45.75" customHeight="1" x14ac:dyDescent="0.25">
      <c r="A408" s="151"/>
      <c r="B408" s="134"/>
      <c r="C408" s="175"/>
      <c r="D408" s="133"/>
      <c r="E408" s="133"/>
      <c r="F408" s="41"/>
      <c r="G408" s="45" t="s">
        <v>14</v>
      </c>
      <c r="H408" s="33">
        <f t="shared" ref="H408:O408" si="228">SUM(H406:H407)</f>
        <v>230081</v>
      </c>
      <c r="I408" s="33">
        <f t="shared" si="228"/>
        <v>226606</v>
      </c>
      <c r="J408" s="33">
        <f t="shared" si="228"/>
        <v>221026</v>
      </c>
      <c r="K408" s="33">
        <f t="shared" si="228"/>
        <v>215125</v>
      </c>
      <c r="L408" s="33">
        <f t="shared" si="228"/>
        <v>209392</v>
      </c>
      <c r="M408" s="33">
        <f t="shared" si="228"/>
        <v>203667</v>
      </c>
      <c r="N408" s="33">
        <f t="shared" si="228"/>
        <v>198052</v>
      </c>
      <c r="O408" s="33">
        <f t="shared" si="228"/>
        <v>1026993</v>
      </c>
      <c r="P408" s="18">
        <f t="shared" si="222"/>
        <v>2530942</v>
      </c>
    </row>
    <row r="409" spans="1:16" ht="14.25" customHeight="1" x14ac:dyDescent="0.25">
      <c r="A409" s="149">
        <f t="shared" si="214"/>
        <v>134</v>
      </c>
      <c r="B409" s="172" t="s">
        <v>8</v>
      </c>
      <c r="C409" s="167" t="s">
        <v>490</v>
      </c>
      <c r="D409" s="158" t="s">
        <v>491</v>
      </c>
      <c r="E409" s="158" t="s">
        <v>492</v>
      </c>
      <c r="F409" s="12" t="s">
        <v>493</v>
      </c>
      <c r="G409" s="44" t="s">
        <v>12</v>
      </c>
      <c r="H409" s="43">
        <v>43916</v>
      </c>
      <c r="I409" s="43">
        <v>43916</v>
      </c>
      <c r="J409" s="43">
        <v>43916</v>
      </c>
      <c r="K409" s="43">
        <v>43916</v>
      </c>
      <c r="L409" s="43">
        <v>43916</v>
      </c>
      <c r="M409" s="43">
        <v>43916</v>
      </c>
      <c r="N409" s="43">
        <v>43916</v>
      </c>
      <c r="O409" s="43">
        <f>603825-219580-43916-43916-43916</f>
        <v>252497</v>
      </c>
      <c r="P409" s="13">
        <f t="shared" si="222"/>
        <v>559909</v>
      </c>
    </row>
    <row r="410" spans="1:16" ht="14.25" customHeight="1" x14ac:dyDescent="0.25">
      <c r="A410" s="150"/>
      <c r="B410" s="172"/>
      <c r="C410" s="173"/>
      <c r="D410" s="133"/>
      <c r="E410" s="133"/>
      <c r="F410" s="14" t="s">
        <v>494</v>
      </c>
      <c r="G410" s="14" t="s">
        <v>316</v>
      </c>
      <c r="H410" s="39">
        <v>19183</v>
      </c>
      <c r="I410" s="39">
        <v>18230</v>
      </c>
      <c r="J410" s="39">
        <v>16700</v>
      </c>
      <c r="K410" s="39">
        <v>15081</v>
      </c>
      <c r="L410" s="39">
        <v>13509</v>
      </c>
      <c r="M410" s="39">
        <v>11939</v>
      </c>
      <c r="N410" s="39">
        <v>10400</v>
      </c>
      <c r="O410" s="39">
        <v>29166</v>
      </c>
      <c r="P410" s="15">
        <f t="shared" si="222"/>
        <v>134208</v>
      </c>
    </row>
    <row r="411" spans="1:16" ht="14.25" customHeight="1" x14ac:dyDescent="0.25">
      <c r="A411" s="151"/>
      <c r="B411" s="172"/>
      <c r="C411" s="173"/>
      <c r="D411" s="133"/>
      <c r="E411" s="133"/>
      <c r="F411" s="41"/>
      <c r="G411" s="16" t="s">
        <v>14</v>
      </c>
      <c r="H411" s="33">
        <f t="shared" ref="H411:O411" si="229">SUM(H409:H410)</f>
        <v>63099</v>
      </c>
      <c r="I411" s="33">
        <f t="shared" si="229"/>
        <v>62146</v>
      </c>
      <c r="J411" s="33">
        <f t="shared" si="229"/>
        <v>60616</v>
      </c>
      <c r="K411" s="33">
        <f t="shared" si="229"/>
        <v>58997</v>
      </c>
      <c r="L411" s="33">
        <f t="shared" si="229"/>
        <v>57425</v>
      </c>
      <c r="M411" s="33">
        <f t="shared" si="229"/>
        <v>55855</v>
      </c>
      <c r="N411" s="33">
        <f t="shared" si="229"/>
        <v>54316</v>
      </c>
      <c r="O411" s="33">
        <f t="shared" si="229"/>
        <v>281663</v>
      </c>
      <c r="P411" s="18">
        <f t="shared" si="222"/>
        <v>694117</v>
      </c>
    </row>
    <row r="412" spans="1:16" ht="14.25" customHeight="1" x14ac:dyDescent="0.25">
      <c r="A412" s="149">
        <f t="shared" si="214"/>
        <v>135</v>
      </c>
      <c r="B412" s="172" t="s">
        <v>8</v>
      </c>
      <c r="C412" s="167" t="s">
        <v>718</v>
      </c>
      <c r="D412" s="158" t="s">
        <v>491</v>
      </c>
      <c r="E412" s="158" t="s">
        <v>492</v>
      </c>
      <c r="F412" s="12" t="s">
        <v>495</v>
      </c>
      <c r="G412" s="44" t="s">
        <v>12</v>
      </c>
      <c r="H412" s="43">
        <v>26012</v>
      </c>
      <c r="I412" s="43">
        <v>26012</v>
      </c>
      <c r="J412" s="43">
        <v>26012</v>
      </c>
      <c r="K412" s="43">
        <v>26012</v>
      </c>
      <c r="L412" s="43">
        <v>26012</v>
      </c>
      <c r="M412" s="43">
        <v>26012</v>
      </c>
      <c r="N412" s="43">
        <v>26012</v>
      </c>
      <c r="O412" s="43">
        <f>357622-130060-26012-26012-26012</f>
        <v>149526</v>
      </c>
      <c r="P412" s="13">
        <f t="shared" si="222"/>
        <v>331610</v>
      </c>
    </row>
    <row r="413" spans="1:16" ht="14.25" customHeight="1" x14ac:dyDescent="0.25">
      <c r="A413" s="150"/>
      <c r="B413" s="172"/>
      <c r="C413" s="173"/>
      <c r="D413" s="133"/>
      <c r="E413" s="133"/>
      <c r="F413" s="14" t="s">
        <v>496</v>
      </c>
      <c r="G413" s="14" t="s">
        <v>316</v>
      </c>
      <c r="H413" s="39">
        <v>11361</v>
      </c>
      <c r="I413" s="39">
        <v>10797</v>
      </c>
      <c r="J413" s="39">
        <v>9891</v>
      </c>
      <c r="K413" s="39">
        <v>8932</v>
      </c>
      <c r="L413" s="39">
        <v>8001</v>
      </c>
      <c r="M413" s="39">
        <v>7071</v>
      </c>
      <c r="N413" s="39">
        <v>6158</v>
      </c>
      <c r="O413" s="39">
        <v>17269</v>
      </c>
      <c r="P413" s="15">
        <f t="shared" si="222"/>
        <v>79480</v>
      </c>
    </row>
    <row r="414" spans="1:16" ht="14.25" customHeight="1" x14ac:dyDescent="0.25">
      <c r="A414" s="151"/>
      <c r="B414" s="172"/>
      <c r="C414" s="173"/>
      <c r="D414" s="133"/>
      <c r="E414" s="133"/>
      <c r="F414" s="41"/>
      <c r="G414" s="16" t="s">
        <v>14</v>
      </c>
      <c r="H414" s="33">
        <f t="shared" ref="H414:O414" si="230">SUM(H412:H413)</f>
        <v>37373</v>
      </c>
      <c r="I414" s="33">
        <f t="shared" si="230"/>
        <v>36809</v>
      </c>
      <c r="J414" s="33">
        <f t="shared" si="230"/>
        <v>35903</v>
      </c>
      <c r="K414" s="33">
        <f t="shared" si="230"/>
        <v>34944</v>
      </c>
      <c r="L414" s="33">
        <f t="shared" si="230"/>
        <v>34013</v>
      </c>
      <c r="M414" s="33">
        <f t="shared" si="230"/>
        <v>33083</v>
      </c>
      <c r="N414" s="33">
        <f t="shared" si="230"/>
        <v>32170</v>
      </c>
      <c r="O414" s="33">
        <f t="shared" si="230"/>
        <v>166795</v>
      </c>
      <c r="P414" s="18">
        <f t="shared" si="222"/>
        <v>411090</v>
      </c>
    </row>
    <row r="415" spans="1:16" ht="14.25" customHeight="1" x14ac:dyDescent="0.25">
      <c r="A415" s="149">
        <f t="shared" si="214"/>
        <v>136</v>
      </c>
      <c r="B415" s="172" t="s">
        <v>8</v>
      </c>
      <c r="C415" s="167" t="s">
        <v>497</v>
      </c>
      <c r="D415" s="158" t="s">
        <v>491</v>
      </c>
      <c r="E415" s="158" t="s">
        <v>498</v>
      </c>
      <c r="F415" s="12" t="s">
        <v>499</v>
      </c>
      <c r="G415" s="44" t="s">
        <v>12</v>
      </c>
      <c r="H415" s="43">
        <v>18856</v>
      </c>
      <c r="I415" s="43">
        <v>18856</v>
      </c>
      <c r="J415" s="43">
        <v>18856</v>
      </c>
      <c r="K415" s="43">
        <v>18856</v>
      </c>
      <c r="L415" s="43">
        <v>18856</v>
      </c>
      <c r="M415" s="43">
        <v>18856</v>
      </c>
      <c r="N415" s="43">
        <v>18856</v>
      </c>
      <c r="O415" s="43">
        <f>174418-103708-18856-3-18856-18856</f>
        <v>14139</v>
      </c>
      <c r="P415" s="13">
        <f t="shared" si="222"/>
        <v>146131</v>
      </c>
    </row>
    <row r="416" spans="1:16" ht="14.25" customHeight="1" x14ac:dyDescent="0.25">
      <c r="A416" s="150"/>
      <c r="B416" s="172"/>
      <c r="C416" s="173"/>
      <c r="D416" s="133"/>
      <c r="E416" s="133"/>
      <c r="F416" s="14" t="s">
        <v>500</v>
      </c>
      <c r="G416" s="14" t="s">
        <v>316</v>
      </c>
      <c r="H416" s="39">
        <v>4668</v>
      </c>
      <c r="I416" s="39">
        <v>4193</v>
      </c>
      <c r="J416" s="39">
        <v>3565</v>
      </c>
      <c r="K416" s="39">
        <v>2920</v>
      </c>
      <c r="L416" s="39">
        <v>2284</v>
      </c>
      <c r="M416" s="39">
        <v>1649</v>
      </c>
      <c r="N416" s="39">
        <v>1018</v>
      </c>
      <c r="O416" s="39">
        <v>365</v>
      </c>
      <c r="P416" s="15">
        <f t="shared" si="222"/>
        <v>20662</v>
      </c>
    </row>
    <row r="417" spans="1:16" ht="14.25" customHeight="1" x14ac:dyDescent="0.25">
      <c r="A417" s="151"/>
      <c r="B417" s="172"/>
      <c r="C417" s="173"/>
      <c r="D417" s="133"/>
      <c r="E417" s="133"/>
      <c r="F417" s="41"/>
      <c r="G417" s="16" t="s">
        <v>14</v>
      </c>
      <c r="H417" s="33">
        <f t="shared" ref="H417:O417" si="231">SUM(H415:H416)</f>
        <v>23524</v>
      </c>
      <c r="I417" s="33">
        <f t="shared" si="231"/>
        <v>23049</v>
      </c>
      <c r="J417" s="33">
        <f t="shared" si="231"/>
        <v>22421</v>
      </c>
      <c r="K417" s="33">
        <f t="shared" si="231"/>
        <v>21776</v>
      </c>
      <c r="L417" s="33">
        <f t="shared" si="231"/>
        <v>21140</v>
      </c>
      <c r="M417" s="33">
        <f t="shared" si="231"/>
        <v>20505</v>
      </c>
      <c r="N417" s="33">
        <f t="shared" si="231"/>
        <v>19874</v>
      </c>
      <c r="O417" s="33">
        <f t="shared" si="231"/>
        <v>14504</v>
      </c>
      <c r="P417" s="18">
        <f t="shared" si="222"/>
        <v>166793</v>
      </c>
    </row>
    <row r="418" spans="1:16" ht="14.25" customHeight="1" x14ac:dyDescent="0.25">
      <c r="A418" s="149">
        <f t="shared" si="214"/>
        <v>137</v>
      </c>
      <c r="B418" s="172" t="s">
        <v>8</v>
      </c>
      <c r="C418" s="167" t="s">
        <v>501</v>
      </c>
      <c r="D418" s="158" t="s">
        <v>491</v>
      </c>
      <c r="E418" s="158" t="s">
        <v>498</v>
      </c>
      <c r="F418" s="12" t="s">
        <v>502</v>
      </c>
      <c r="G418" s="44" t="s">
        <v>12</v>
      </c>
      <c r="H418" s="43">
        <v>5440</v>
      </c>
      <c r="I418" s="43">
        <v>5440</v>
      </c>
      <c r="J418" s="43">
        <v>5440</v>
      </c>
      <c r="K418" s="43">
        <v>5440</v>
      </c>
      <c r="L418" s="43">
        <v>5440</v>
      </c>
      <c r="M418" s="43">
        <v>5440</v>
      </c>
      <c r="N418" s="43">
        <v>5440</v>
      </c>
      <c r="O418" s="43">
        <f>50294-29920-5440-5440-5440</f>
        <v>4054</v>
      </c>
      <c r="P418" s="13">
        <f t="shared" si="222"/>
        <v>42134</v>
      </c>
    </row>
    <row r="419" spans="1:16" ht="14.25" customHeight="1" x14ac:dyDescent="0.25">
      <c r="A419" s="150"/>
      <c r="B419" s="172"/>
      <c r="C419" s="173"/>
      <c r="D419" s="133"/>
      <c r="E419" s="133"/>
      <c r="F419" s="14" t="s">
        <v>503</v>
      </c>
      <c r="G419" s="14" t="s">
        <v>316</v>
      </c>
      <c r="H419" s="39">
        <v>1345</v>
      </c>
      <c r="I419" s="39">
        <v>1209</v>
      </c>
      <c r="J419" s="39">
        <v>1027</v>
      </c>
      <c r="K419" s="39">
        <v>841</v>
      </c>
      <c r="L419" s="39">
        <v>658</v>
      </c>
      <c r="M419" s="39">
        <v>475</v>
      </c>
      <c r="N419" s="39">
        <v>293</v>
      </c>
      <c r="O419" s="39">
        <v>104</v>
      </c>
      <c r="P419" s="15">
        <f t="shared" si="222"/>
        <v>5952</v>
      </c>
    </row>
    <row r="420" spans="1:16" ht="14.25" customHeight="1" x14ac:dyDescent="0.25">
      <c r="A420" s="151"/>
      <c r="B420" s="172"/>
      <c r="C420" s="173"/>
      <c r="D420" s="133"/>
      <c r="E420" s="133"/>
      <c r="F420" s="41"/>
      <c r="G420" s="16" t="s">
        <v>14</v>
      </c>
      <c r="H420" s="33">
        <f t="shared" ref="H420:O420" si="232">SUM(H418:H419)</f>
        <v>6785</v>
      </c>
      <c r="I420" s="33">
        <f t="shared" si="232"/>
        <v>6649</v>
      </c>
      <c r="J420" s="33">
        <f t="shared" si="232"/>
        <v>6467</v>
      </c>
      <c r="K420" s="33">
        <f t="shared" si="232"/>
        <v>6281</v>
      </c>
      <c r="L420" s="33">
        <f t="shared" si="232"/>
        <v>6098</v>
      </c>
      <c r="M420" s="33">
        <f t="shared" si="232"/>
        <v>5915</v>
      </c>
      <c r="N420" s="33">
        <f t="shared" si="232"/>
        <v>5733</v>
      </c>
      <c r="O420" s="33">
        <f t="shared" si="232"/>
        <v>4158</v>
      </c>
      <c r="P420" s="18">
        <f t="shared" si="222"/>
        <v>48086</v>
      </c>
    </row>
    <row r="421" spans="1:16" ht="14.25" customHeight="1" x14ac:dyDescent="0.25">
      <c r="A421" s="149">
        <f t="shared" si="214"/>
        <v>138</v>
      </c>
      <c r="B421" s="172" t="s">
        <v>8</v>
      </c>
      <c r="C421" s="167" t="s">
        <v>504</v>
      </c>
      <c r="D421" s="158" t="s">
        <v>491</v>
      </c>
      <c r="E421" s="158" t="s">
        <v>498</v>
      </c>
      <c r="F421" s="12" t="s">
        <v>505</v>
      </c>
      <c r="G421" s="44" t="s">
        <v>12</v>
      </c>
      <c r="H421" s="43">
        <v>12184</v>
      </c>
      <c r="I421" s="43">
        <v>12184</v>
      </c>
      <c r="J421" s="43">
        <v>12184</v>
      </c>
      <c r="K421" s="43">
        <v>12184</v>
      </c>
      <c r="L421" s="43">
        <v>12184</v>
      </c>
      <c r="M421" s="43">
        <v>12184</v>
      </c>
      <c r="N421" s="43">
        <v>12184</v>
      </c>
      <c r="O421" s="43">
        <f>112667-67012-12184-12184-12184</f>
        <v>9103</v>
      </c>
      <c r="P421" s="13">
        <f t="shared" si="222"/>
        <v>94391</v>
      </c>
    </row>
    <row r="422" spans="1:16" ht="14.25" customHeight="1" x14ac:dyDescent="0.25">
      <c r="A422" s="150"/>
      <c r="B422" s="172"/>
      <c r="C422" s="173"/>
      <c r="D422" s="133"/>
      <c r="E422" s="133"/>
      <c r="F422" s="14" t="s">
        <v>506</v>
      </c>
      <c r="G422" s="14" t="s">
        <v>316</v>
      </c>
      <c r="H422" s="39">
        <v>3015</v>
      </c>
      <c r="I422" s="39">
        <v>2708</v>
      </c>
      <c r="J422" s="39">
        <v>2302</v>
      </c>
      <c r="K422" s="39">
        <v>1885</v>
      </c>
      <c r="L422" s="39">
        <v>1474</v>
      </c>
      <c r="M422" s="39">
        <v>1064</v>
      </c>
      <c r="N422" s="39">
        <v>656</v>
      </c>
      <c r="O422" s="39">
        <v>235</v>
      </c>
      <c r="P422" s="15">
        <f t="shared" si="222"/>
        <v>13339</v>
      </c>
    </row>
    <row r="423" spans="1:16" ht="14.25" customHeight="1" x14ac:dyDescent="0.25">
      <c r="A423" s="151"/>
      <c r="B423" s="172"/>
      <c r="C423" s="173"/>
      <c r="D423" s="133"/>
      <c r="E423" s="133"/>
      <c r="F423" s="41"/>
      <c r="G423" s="16" t="s">
        <v>14</v>
      </c>
      <c r="H423" s="33">
        <f t="shared" ref="H423:O423" si="233">SUM(H421:H422)</f>
        <v>15199</v>
      </c>
      <c r="I423" s="33">
        <f t="shared" si="233"/>
        <v>14892</v>
      </c>
      <c r="J423" s="33">
        <f t="shared" si="233"/>
        <v>14486</v>
      </c>
      <c r="K423" s="33">
        <f t="shared" si="233"/>
        <v>14069</v>
      </c>
      <c r="L423" s="33">
        <f t="shared" si="233"/>
        <v>13658</v>
      </c>
      <c r="M423" s="33">
        <f t="shared" si="233"/>
        <v>13248</v>
      </c>
      <c r="N423" s="33">
        <f t="shared" si="233"/>
        <v>12840</v>
      </c>
      <c r="O423" s="33">
        <f t="shared" si="233"/>
        <v>9338</v>
      </c>
      <c r="P423" s="18">
        <f t="shared" si="222"/>
        <v>107730</v>
      </c>
    </row>
    <row r="424" spans="1:16" ht="14.25" customHeight="1" x14ac:dyDescent="0.25">
      <c r="A424" s="149">
        <f t="shared" si="214"/>
        <v>139</v>
      </c>
      <c r="B424" s="172" t="s">
        <v>8</v>
      </c>
      <c r="C424" s="167" t="s">
        <v>507</v>
      </c>
      <c r="D424" s="158" t="s">
        <v>491</v>
      </c>
      <c r="E424" s="158" t="s">
        <v>498</v>
      </c>
      <c r="F424" s="12" t="s">
        <v>508</v>
      </c>
      <c r="G424" s="44" t="s">
        <v>12</v>
      </c>
      <c r="H424" s="43">
        <v>23480</v>
      </c>
      <c r="I424" s="43">
        <v>23480</v>
      </c>
      <c r="J424" s="43">
        <v>23480</v>
      </c>
      <c r="K424" s="43">
        <v>23480</v>
      </c>
      <c r="L424" s="43">
        <v>23480</v>
      </c>
      <c r="M424" s="43">
        <v>23480</v>
      </c>
      <c r="N424" s="43">
        <v>23480</v>
      </c>
      <c r="O424" s="43">
        <f>208393-123926-22532+2608-23480-23480</f>
        <v>17583</v>
      </c>
      <c r="P424" s="13">
        <f t="shared" si="222"/>
        <v>181943</v>
      </c>
    </row>
    <row r="425" spans="1:16" ht="14.25" customHeight="1" x14ac:dyDescent="0.25">
      <c r="A425" s="150"/>
      <c r="B425" s="172"/>
      <c r="C425" s="173"/>
      <c r="D425" s="133"/>
      <c r="E425" s="133"/>
      <c r="F425" s="14" t="s">
        <v>509</v>
      </c>
      <c r="G425" s="14" t="s">
        <v>316</v>
      </c>
      <c r="H425" s="39">
        <v>5812</v>
      </c>
      <c r="I425" s="39">
        <v>5220</v>
      </c>
      <c r="J425" s="39">
        <v>4438</v>
      </c>
      <c r="K425" s="39">
        <v>3634</v>
      </c>
      <c r="L425" s="39">
        <v>2843</v>
      </c>
      <c r="M425" s="39">
        <v>2053</v>
      </c>
      <c r="N425" s="39">
        <v>1267</v>
      </c>
      <c r="O425" s="39">
        <f>453</f>
        <v>453</v>
      </c>
      <c r="P425" s="15">
        <f t="shared" si="222"/>
        <v>25720</v>
      </c>
    </row>
    <row r="426" spans="1:16" ht="14.25" customHeight="1" x14ac:dyDescent="0.25">
      <c r="A426" s="151"/>
      <c r="B426" s="172"/>
      <c r="C426" s="173"/>
      <c r="D426" s="133"/>
      <c r="E426" s="133"/>
      <c r="F426" s="41"/>
      <c r="G426" s="16" t="s">
        <v>14</v>
      </c>
      <c r="H426" s="33">
        <f t="shared" ref="H426:O426" si="234">SUM(H424:H425)</f>
        <v>29292</v>
      </c>
      <c r="I426" s="33">
        <f t="shared" si="234"/>
        <v>28700</v>
      </c>
      <c r="J426" s="33">
        <f t="shared" si="234"/>
        <v>27918</v>
      </c>
      <c r="K426" s="33">
        <f t="shared" si="234"/>
        <v>27114</v>
      </c>
      <c r="L426" s="33">
        <f t="shared" si="234"/>
        <v>26323</v>
      </c>
      <c r="M426" s="33">
        <f t="shared" si="234"/>
        <v>25533</v>
      </c>
      <c r="N426" s="33">
        <f t="shared" si="234"/>
        <v>24747</v>
      </c>
      <c r="O426" s="33">
        <f t="shared" si="234"/>
        <v>18036</v>
      </c>
      <c r="P426" s="18">
        <f t="shared" si="222"/>
        <v>207663</v>
      </c>
    </row>
    <row r="427" spans="1:16" ht="14.25" customHeight="1" x14ac:dyDescent="0.25">
      <c r="A427" s="149">
        <f t="shared" si="214"/>
        <v>140</v>
      </c>
      <c r="B427" s="176" t="s">
        <v>8</v>
      </c>
      <c r="C427" s="145" t="s">
        <v>510</v>
      </c>
      <c r="D427" s="158" t="s">
        <v>511</v>
      </c>
      <c r="E427" s="158" t="s">
        <v>512</v>
      </c>
      <c r="F427" s="12" t="s">
        <v>513</v>
      </c>
      <c r="G427" s="44" t="s">
        <v>12</v>
      </c>
      <c r="H427" s="43">
        <v>13928</v>
      </c>
      <c r="I427" s="43">
        <v>13928</v>
      </c>
      <c r="J427" s="43">
        <v>13928</v>
      </c>
      <c r="K427" s="43">
        <v>13928</v>
      </c>
      <c r="L427" s="43">
        <v>13928</v>
      </c>
      <c r="M427" s="43">
        <v>13928</v>
      </c>
      <c r="N427" s="43">
        <v>13928</v>
      </c>
      <c r="O427" s="43">
        <f>308507-73122-13928-13928-13928</f>
        <v>193601</v>
      </c>
      <c r="P427" s="34">
        <f t="shared" si="222"/>
        <v>291097</v>
      </c>
    </row>
    <row r="428" spans="1:16" ht="14.25" customHeight="1" x14ac:dyDescent="0.25">
      <c r="A428" s="150"/>
      <c r="B428" s="176"/>
      <c r="C428" s="135"/>
      <c r="D428" s="133"/>
      <c r="E428" s="133"/>
      <c r="F428" s="14" t="s">
        <v>514</v>
      </c>
      <c r="G428" s="14" t="s">
        <v>316</v>
      </c>
      <c r="H428" s="39">
        <v>11046</v>
      </c>
      <c r="I428" s="39">
        <v>10821</v>
      </c>
      <c r="J428" s="39">
        <v>10301</v>
      </c>
      <c r="K428" s="39">
        <v>9724</v>
      </c>
      <c r="L428" s="39">
        <v>9176</v>
      </c>
      <c r="M428" s="39">
        <v>8628</v>
      </c>
      <c r="N428" s="39">
        <v>8104</v>
      </c>
      <c r="O428" s="39">
        <v>62286</v>
      </c>
      <c r="P428" s="31">
        <f t="shared" si="222"/>
        <v>130086</v>
      </c>
    </row>
    <row r="429" spans="1:16" ht="14.25" customHeight="1" x14ac:dyDescent="0.25">
      <c r="A429" s="151"/>
      <c r="B429" s="176"/>
      <c r="C429" s="135"/>
      <c r="D429" s="133"/>
      <c r="E429" s="133"/>
      <c r="F429" s="41"/>
      <c r="G429" s="16" t="s">
        <v>14</v>
      </c>
      <c r="H429" s="33">
        <f t="shared" ref="H429:O429" si="235">SUM(H427:H428)</f>
        <v>24974</v>
      </c>
      <c r="I429" s="33">
        <f t="shared" si="235"/>
        <v>24749</v>
      </c>
      <c r="J429" s="33">
        <f t="shared" si="235"/>
        <v>24229</v>
      </c>
      <c r="K429" s="33">
        <f t="shared" si="235"/>
        <v>23652</v>
      </c>
      <c r="L429" s="33">
        <f t="shared" si="235"/>
        <v>23104</v>
      </c>
      <c r="M429" s="33">
        <f t="shared" si="235"/>
        <v>22556</v>
      </c>
      <c r="N429" s="33">
        <f t="shared" si="235"/>
        <v>22032</v>
      </c>
      <c r="O429" s="33">
        <f t="shared" si="235"/>
        <v>255887</v>
      </c>
      <c r="P429" s="47">
        <f t="shared" si="222"/>
        <v>421183</v>
      </c>
    </row>
    <row r="430" spans="1:16" ht="14.25" customHeight="1" x14ac:dyDescent="0.25">
      <c r="A430" s="149">
        <f t="shared" si="214"/>
        <v>141</v>
      </c>
      <c r="B430" s="172" t="s">
        <v>8</v>
      </c>
      <c r="C430" s="145" t="s">
        <v>515</v>
      </c>
      <c r="D430" s="158" t="s">
        <v>516</v>
      </c>
      <c r="E430" s="158" t="s">
        <v>265</v>
      </c>
      <c r="F430" s="12" t="s">
        <v>517</v>
      </c>
      <c r="G430" s="44" t="s">
        <v>12</v>
      </c>
      <c r="H430" s="43">
        <v>9944</v>
      </c>
      <c r="I430" s="43">
        <v>9944</v>
      </c>
      <c r="J430" s="43">
        <v>9944</v>
      </c>
      <c r="K430" s="43">
        <v>9944</v>
      </c>
      <c r="L430" s="43">
        <v>9944</v>
      </c>
      <c r="M430" s="43">
        <v>9944</v>
      </c>
      <c r="N430" s="43">
        <v>9944</v>
      </c>
      <c r="O430" s="43">
        <f>91981-62150-9944-9944</f>
        <v>9943</v>
      </c>
      <c r="P430" s="13">
        <f t="shared" si="222"/>
        <v>79551</v>
      </c>
    </row>
    <row r="431" spans="1:16" ht="14.25" customHeight="1" x14ac:dyDescent="0.25">
      <c r="A431" s="150"/>
      <c r="B431" s="172"/>
      <c r="C431" s="135"/>
      <c r="D431" s="133"/>
      <c r="E431" s="133"/>
      <c r="F431" s="14" t="s">
        <v>518</v>
      </c>
      <c r="G431" s="14" t="s">
        <v>316</v>
      </c>
      <c r="H431" s="39">
        <v>2543</v>
      </c>
      <c r="I431" s="39">
        <v>2295</v>
      </c>
      <c r="J431" s="39">
        <v>1965</v>
      </c>
      <c r="K431" s="39">
        <v>1623</v>
      </c>
      <c r="L431" s="39">
        <v>1288</v>
      </c>
      <c r="M431" s="39">
        <v>953</v>
      </c>
      <c r="N431" s="39">
        <v>621</v>
      </c>
      <c r="O431" s="39">
        <f>287</f>
        <v>287</v>
      </c>
      <c r="P431" s="15">
        <f t="shared" si="222"/>
        <v>11575</v>
      </c>
    </row>
    <row r="432" spans="1:16" ht="14.25" customHeight="1" x14ac:dyDescent="0.25">
      <c r="A432" s="151"/>
      <c r="B432" s="172"/>
      <c r="C432" s="135"/>
      <c r="D432" s="133"/>
      <c r="E432" s="133"/>
      <c r="F432" s="41"/>
      <c r="G432" s="16" t="s">
        <v>14</v>
      </c>
      <c r="H432" s="33">
        <f t="shared" ref="H432:O432" si="236">SUM(H430:H431)</f>
        <v>12487</v>
      </c>
      <c r="I432" s="33">
        <f t="shared" si="236"/>
        <v>12239</v>
      </c>
      <c r="J432" s="33">
        <f t="shared" si="236"/>
        <v>11909</v>
      </c>
      <c r="K432" s="33">
        <f t="shared" si="236"/>
        <v>11567</v>
      </c>
      <c r="L432" s="33">
        <f t="shared" si="236"/>
        <v>11232</v>
      </c>
      <c r="M432" s="33">
        <f t="shared" si="236"/>
        <v>10897</v>
      </c>
      <c r="N432" s="33">
        <f t="shared" si="236"/>
        <v>10565</v>
      </c>
      <c r="O432" s="33">
        <f t="shared" si="236"/>
        <v>10230</v>
      </c>
      <c r="P432" s="18">
        <f t="shared" si="222"/>
        <v>91126</v>
      </c>
    </row>
    <row r="433" spans="1:16" ht="14.25" customHeight="1" x14ac:dyDescent="0.25">
      <c r="A433" s="149">
        <f t="shared" si="214"/>
        <v>142</v>
      </c>
      <c r="B433" s="172" t="s">
        <v>8</v>
      </c>
      <c r="C433" s="163" t="s">
        <v>725</v>
      </c>
      <c r="D433" s="158" t="s">
        <v>519</v>
      </c>
      <c r="E433" s="158" t="s">
        <v>520</v>
      </c>
      <c r="F433" s="19" t="s">
        <v>521</v>
      </c>
      <c r="G433" s="44" t="s">
        <v>12</v>
      </c>
      <c r="H433" s="43">
        <v>30752</v>
      </c>
      <c r="I433" s="43">
        <v>30752</v>
      </c>
      <c r="J433" s="43">
        <v>30752</v>
      </c>
      <c r="K433" s="43">
        <v>30752</v>
      </c>
      <c r="L433" s="43">
        <v>30752</v>
      </c>
      <c r="M433" s="43">
        <v>30752</v>
      </c>
      <c r="N433" s="43">
        <v>30752</v>
      </c>
      <c r="O433" s="43">
        <f>422794-146072-30752-30752-30752</f>
        <v>184466</v>
      </c>
      <c r="P433" s="13">
        <f t="shared" si="222"/>
        <v>399730</v>
      </c>
    </row>
    <row r="434" spans="1:16" ht="14.25" customHeight="1" x14ac:dyDescent="0.25">
      <c r="A434" s="150"/>
      <c r="B434" s="172"/>
      <c r="C434" s="163"/>
      <c r="D434" s="133"/>
      <c r="E434" s="133"/>
      <c r="F434" s="21" t="s">
        <v>522</v>
      </c>
      <c r="G434" s="14" t="s">
        <v>316</v>
      </c>
      <c r="H434" s="39">
        <v>13698</v>
      </c>
      <c r="I434" s="48">
        <v>13040</v>
      </c>
      <c r="J434" s="48">
        <v>11969</v>
      </c>
      <c r="K434" s="48">
        <v>10835</v>
      </c>
      <c r="L434" s="48">
        <v>9734</v>
      </c>
      <c r="M434" s="48">
        <v>8635</v>
      </c>
      <c r="N434" s="48">
        <v>7557</v>
      </c>
      <c r="O434" s="48">
        <f>22131</f>
        <v>22131</v>
      </c>
      <c r="P434" s="15">
        <f t="shared" si="222"/>
        <v>97599</v>
      </c>
    </row>
    <row r="435" spans="1:16" ht="28.5" customHeight="1" x14ac:dyDescent="0.25">
      <c r="A435" s="151"/>
      <c r="B435" s="172"/>
      <c r="C435" s="163"/>
      <c r="D435" s="133"/>
      <c r="E435" s="133"/>
      <c r="F435" s="41"/>
      <c r="G435" s="45" t="s">
        <v>14</v>
      </c>
      <c r="H435" s="33">
        <f t="shared" ref="H435:O435" si="237">SUM(H433:H434)</f>
        <v>44450</v>
      </c>
      <c r="I435" s="33">
        <f t="shared" si="237"/>
        <v>43792</v>
      </c>
      <c r="J435" s="33">
        <f t="shared" si="237"/>
        <v>42721</v>
      </c>
      <c r="K435" s="33">
        <f t="shared" si="237"/>
        <v>41587</v>
      </c>
      <c r="L435" s="33">
        <f t="shared" si="237"/>
        <v>40486</v>
      </c>
      <c r="M435" s="33">
        <f t="shared" si="237"/>
        <v>39387</v>
      </c>
      <c r="N435" s="33">
        <f t="shared" si="237"/>
        <v>38309</v>
      </c>
      <c r="O435" s="33">
        <f t="shared" si="237"/>
        <v>206597</v>
      </c>
      <c r="P435" s="18">
        <f t="shared" si="222"/>
        <v>497329</v>
      </c>
    </row>
    <row r="436" spans="1:16" ht="14.25" customHeight="1" x14ac:dyDescent="0.25">
      <c r="A436" s="149">
        <f t="shared" si="214"/>
        <v>143</v>
      </c>
      <c r="B436" s="134" t="s">
        <v>8</v>
      </c>
      <c r="C436" s="145" t="s">
        <v>523</v>
      </c>
      <c r="D436" s="158" t="s">
        <v>524</v>
      </c>
      <c r="E436" s="158" t="s">
        <v>296</v>
      </c>
      <c r="F436" s="12" t="s">
        <v>525</v>
      </c>
      <c r="G436" s="44" t="s">
        <v>12</v>
      </c>
      <c r="H436" s="43">
        <v>8560</v>
      </c>
      <c r="I436" s="43">
        <v>8560</v>
      </c>
      <c r="J436" s="43">
        <v>8560</v>
      </c>
      <c r="K436" s="43">
        <v>8560</v>
      </c>
      <c r="L436" s="43">
        <v>8560</v>
      </c>
      <c r="M436" s="43">
        <v>8560</v>
      </c>
      <c r="N436" s="43">
        <v>8560</v>
      </c>
      <c r="O436" s="43">
        <f>79176-49220-8560-8560</f>
        <v>12836</v>
      </c>
      <c r="P436" s="13">
        <f t="shared" si="222"/>
        <v>72756</v>
      </c>
    </row>
    <row r="437" spans="1:16" ht="14.25" customHeight="1" x14ac:dyDescent="0.25">
      <c r="A437" s="150"/>
      <c r="B437" s="134"/>
      <c r="C437" s="135"/>
      <c r="D437" s="133"/>
      <c r="E437" s="133"/>
      <c r="F437" s="14" t="s">
        <v>526</v>
      </c>
      <c r="G437" s="14" t="s">
        <v>316</v>
      </c>
      <c r="H437" s="39">
        <v>2328</v>
      </c>
      <c r="I437" s="39">
        <v>2120</v>
      </c>
      <c r="J437" s="39">
        <v>1835</v>
      </c>
      <c r="K437" s="39">
        <v>1542</v>
      </c>
      <c r="L437" s="39">
        <v>1253</v>
      </c>
      <c r="M437" s="39">
        <v>965</v>
      </c>
      <c r="N437" s="39">
        <v>679</v>
      </c>
      <c r="O437" s="39">
        <f>489</f>
        <v>489</v>
      </c>
      <c r="P437" s="15">
        <f t="shared" si="222"/>
        <v>11211</v>
      </c>
    </row>
    <row r="438" spans="1:16" ht="14.25" customHeight="1" x14ac:dyDescent="0.25">
      <c r="A438" s="151"/>
      <c r="B438" s="134"/>
      <c r="C438" s="135"/>
      <c r="D438" s="133"/>
      <c r="E438" s="133"/>
      <c r="F438" s="41"/>
      <c r="G438" s="16" t="s">
        <v>14</v>
      </c>
      <c r="H438" s="33">
        <f t="shared" ref="H438:O438" si="238">SUM(H436:H437)</f>
        <v>10888</v>
      </c>
      <c r="I438" s="33">
        <f t="shared" si="238"/>
        <v>10680</v>
      </c>
      <c r="J438" s="33">
        <f t="shared" si="238"/>
        <v>10395</v>
      </c>
      <c r="K438" s="33">
        <f t="shared" si="238"/>
        <v>10102</v>
      </c>
      <c r="L438" s="33">
        <f t="shared" si="238"/>
        <v>9813</v>
      </c>
      <c r="M438" s="33">
        <f t="shared" si="238"/>
        <v>9525</v>
      </c>
      <c r="N438" s="33">
        <f t="shared" si="238"/>
        <v>9239</v>
      </c>
      <c r="O438" s="33">
        <f t="shared" si="238"/>
        <v>13325</v>
      </c>
      <c r="P438" s="18">
        <f t="shared" si="222"/>
        <v>83967</v>
      </c>
    </row>
    <row r="439" spans="1:16" ht="13.5" customHeight="1" x14ac:dyDescent="0.25">
      <c r="A439" s="149">
        <f t="shared" si="214"/>
        <v>144</v>
      </c>
      <c r="B439" s="134" t="s">
        <v>8</v>
      </c>
      <c r="C439" s="167" t="s">
        <v>527</v>
      </c>
      <c r="D439" s="158" t="s">
        <v>528</v>
      </c>
      <c r="E439" s="158" t="s">
        <v>529</v>
      </c>
      <c r="F439" s="12" t="s">
        <v>530</v>
      </c>
      <c r="G439" s="44" t="s">
        <v>12</v>
      </c>
      <c r="H439" s="43">
        <v>56868</v>
      </c>
      <c r="I439" s="43">
        <v>56868</v>
      </c>
      <c r="J439" s="43">
        <v>56868</v>
      </c>
      <c r="K439" s="43">
        <v>56868</v>
      </c>
      <c r="L439" s="43">
        <v>56868</v>
      </c>
      <c r="M439" s="43">
        <v>56868</v>
      </c>
      <c r="N439" s="43">
        <v>56868</v>
      </c>
      <c r="O439" s="43">
        <f>781926-284340-56868-56868</f>
        <v>383850</v>
      </c>
      <c r="P439" s="13">
        <f t="shared" si="222"/>
        <v>781926</v>
      </c>
    </row>
    <row r="440" spans="1:16" ht="14.25" customHeight="1" x14ac:dyDescent="0.25">
      <c r="A440" s="150"/>
      <c r="B440" s="134"/>
      <c r="C440" s="173"/>
      <c r="D440" s="133"/>
      <c r="E440" s="133"/>
      <c r="F440" s="14" t="s">
        <v>531</v>
      </c>
      <c r="G440" s="14" t="s">
        <v>316</v>
      </c>
      <c r="H440" s="39">
        <v>26703</v>
      </c>
      <c r="I440" s="39">
        <v>25644</v>
      </c>
      <c r="J440" s="39">
        <v>23668</v>
      </c>
      <c r="K440" s="39">
        <v>21566</v>
      </c>
      <c r="L440" s="39">
        <v>19530</v>
      </c>
      <c r="M440" s="39">
        <v>17497</v>
      </c>
      <c r="N440" s="39">
        <v>15508</v>
      </c>
      <c r="O440" s="39">
        <f>51157</f>
        <v>51157</v>
      </c>
      <c r="P440" s="15">
        <f t="shared" si="222"/>
        <v>201273</v>
      </c>
    </row>
    <row r="441" spans="1:16" ht="14.25" customHeight="1" x14ac:dyDescent="0.25">
      <c r="A441" s="151"/>
      <c r="B441" s="134"/>
      <c r="C441" s="173"/>
      <c r="D441" s="133"/>
      <c r="E441" s="133"/>
      <c r="F441" s="41"/>
      <c r="G441" s="16" t="s">
        <v>14</v>
      </c>
      <c r="H441" s="33">
        <f t="shared" ref="H441:O441" si="239">SUM(H439:H440)</f>
        <v>83571</v>
      </c>
      <c r="I441" s="33">
        <f t="shared" si="239"/>
        <v>82512</v>
      </c>
      <c r="J441" s="33">
        <f t="shared" si="239"/>
        <v>80536</v>
      </c>
      <c r="K441" s="33">
        <f t="shared" si="239"/>
        <v>78434</v>
      </c>
      <c r="L441" s="33">
        <f t="shared" si="239"/>
        <v>76398</v>
      </c>
      <c r="M441" s="33">
        <f t="shared" si="239"/>
        <v>74365</v>
      </c>
      <c r="N441" s="33">
        <f t="shared" si="239"/>
        <v>72376</v>
      </c>
      <c r="O441" s="33">
        <f t="shared" si="239"/>
        <v>435007</v>
      </c>
      <c r="P441" s="18">
        <f t="shared" si="222"/>
        <v>983199</v>
      </c>
    </row>
    <row r="442" spans="1:16" ht="14.25" customHeight="1" x14ac:dyDescent="0.25">
      <c r="A442" s="149">
        <f t="shared" si="214"/>
        <v>145</v>
      </c>
      <c r="B442" s="134" t="s">
        <v>8</v>
      </c>
      <c r="C442" s="145" t="s">
        <v>719</v>
      </c>
      <c r="D442" s="158" t="s">
        <v>528</v>
      </c>
      <c r="E442" s="158" t="s">
        <v>529</v>
      </c>
      <c r="F442" s="12" t="s">
        <v>532</v>
      </c>
      <c r="G442" s="44" t="s">
        <v>12</v>
      </c>
      <c r="H442" s="43">
        <v>25776</v>
      </c>
      <c r="I442" s="43">
        <v>25776</v>
      </c>
      <c r="J442" s="43">
        <v>25776</v>
      </c>
      <c r="K442" s="43">
        <v>25776</v>
      </c>
      <c r="L442" s="43">
        <v>25776</v>
      </c>
      <c r="M442" s="43">
        <v>25776</v>
      </c>
      <c r="N442" s="43">
        <v>25776</v>
      </c>
      <c r="O442" s="43">
        <f>354406-128880-25776-25776</f>
        <v>173974</v>
      </c>
      <c r="P442" s="13">
        <f t="shared" si="222"/>
        <v>354406</v>
      </c>
    </row>
    <row r="443" spans="1:16" ht="14.25" customHeight="1" x14ac:dyDescent="0.25">
      <c r="A443" s="150"/>
      <c r="B443" s="134"/>
      <c r="C443" s="135"/>
      <c r="D443" s="133"/>
      <c r="E443" s="133"/>
      <c r="F443" s="14" t="s">
        <v>533</v>
      </c>
      <c r="G443" s="14" t="s">
        <v>316</v>
      </c>
      <c r="H443" s="39">
        <v>12103</v>
      </c>
      <c r="I443" s="39">
        <v>11623</v>
      </c>
      <c r="J443" s="39">
        <v>10727</v>
      </c>
      <c r="K443" s="39">
        <v>9775</v>
      </c>
      <c r="L443" s="39">
        <v>8852</v>
      </c>
      <c r="M443" s="39">
        <v>7930</v>
      </c>
      <c r="N443" s="39">
        <v>7029</v>
      </c>
      <c r="O443" s="39">
        <f>23185</f>
        <v>23185</v>
      </c>
      <c r="P443" s="15">
        <f t="shared" si="222"/>
        <v>91224</v>
      </c>
    </row>
    <row r="444" spans="1:16" ht="14.25" customHeight="1" x14ac:dyDescent="0.25">
      <c r="A444" s="151"/>
      <c r="B444" s="134"/>
      <c r="C444" s="135"/>
      <c r="D444" s="133"/>
      <c r="E444" s="133"/>
      <c r="F444" s="41"/>
      <c r="G444" s="16" t="s">
        <v>14</v>
      </c>
      <c r="H444" s="33">
        <f t="shared" ref="H444:O444" si="240">SUM(H442:H443)</f>
        <v>37879</v>
      </c>
      <c r="I444" s="33">
        <f t="shared" si="240"/>
        <v>37399</v>
      </c>
      <c r="J444" s="33">
        <f t="shared" si="240"/>
        <v>36503</v>
      </c>
      <c r="K444" s="33">
        <f t="shared" si="240"/>
        <v>35551</v>
      </c>
      <c r="L444" s="33">
        <f t="shared" si="240"/>
        <v>34628</v>
      </c>
      <c r="M444" s="33">
        <f t="shared" si="240"/>
        <v>33706</v>
      </c>
      <c r="N444" s="33">
        <f t="shared" si="240"/>
        <v>32805</v>
      </c>
      <c r="O444" s="33">
        <f t="shared" si="240"/>
        <v>197159</v>
      </c>
      <c r="P444" s="18">
        <f t="shared" si="222"/>
        <v>445630</v>
      </c>
    </row>
    <row r="445" spans="1:16" ht="14.25" customHeight="1" x14ac:dyDescent="0.25">
      <c r="A445" s="149">
        <f t="shared" si="214"/>
        <v>146</v>
      </c>
      <c r="B445" s="134" t="s">
        <v>8</v>
      </c>
      <c r="C445" s="145" t="s">
        <v>534</v>
      </c>
      <c r="D445" s="158" t="s">
        <v>528</v>
      </c>
      <c r="E445" s="158" t="s">
        <v>535</v>
      </c>
      <c r="F445" s="12" t="s">
        <v>536</v>
      </c>
      <c r="G445" s="12" t="s">
        <v>12</v>
      </c>
      <c r="H445" s="43">
        <f>887556+665666</f>
        <v>1553222</v>
      </c>
      <c r="I445" s="43"/>
      <c r="J445" s="49">
        <v>0</v>
      </c>
      <c r="K445" s="49">
        <v>0</v>
      </c>
      <c r="L445" s="49">
        <v>0</v>
      </c>
      <c r="M445" s="13">
        <v>0</v>
      </c>
      <c r="N445" s="13">
        <v>0</v>
      </c>
      <c r="O445" s="49">
        <v>0</v>
      </c>
      <c r="P445" s="13">
        <f t="shared" si="222"/>
        <v>1553222</v>
      </c>
    </row>
    <row r="446" spans="1:16" ht="14.25" customHeight="1" x14ac:dyDescent="0.25">
      <c r="A446" s="150"/>
      <c r="B446" s="134"/>
      <c r="C446" s="135"/>
      <c r="D446" s="133"/>
      <c r="E446" s="133"/>
      <c r="F446" s="14" t="s">
        <v>537</v>
      </c>
      <c r="G446" s="14" t="s">
        <v>316</v>
      </c>
      <c r="H446" s="39">
        <f>16216+4601</f>
        <v>20817</v>
      </c>
      <c r="I446" s="39"/>
      <c r="J446" s="39">
        <v>0</v>
      </c>
      <c r="K446" s="39">
        <v>0</v>
      </c>
      <c r="L446" s="39">
        <v>0</v>
      </c>
      <c r="M446" s="15">
        <v>0</v>
      </c>
      <c r="N446" s="15">
        <v>0</v>
      </c>
      <c r="O446" s="39">
        <v>0</v>
      </c>
      <c r="P446" s="15">
        <f t="shared" si="222"/>
        <v>20817</v>
      </c>
    </row>
    <row r="447" spans="1:16" ht="14.25" customHeight="1" x14ac:dyDescent="0.25">
      <c r="A447" s="151"/>
      <c r="B447" s="134"/>
      <c r="C447" s="135"/>
      <c r="D447" s="133"/>
      <c r="E447" s="133"/>
      <c r="F447" s="41"/>
      <c r="G447" s="16" t="s">
        <v>14</v>
      </c>
      <c r="H447" s="33">
        <f t="shared" ref="H447:O447" si="241">SUM(H445:H446)</f>
        <v>1574039</v>
      </c>
      <c r="I447" s="33">
        <f t="shared" si="241"/>
        <v>0</v>
      </c>
      <c r="J447" s="50">
        <f t="shared" si="241"/>
        <v>0</v>
      </c>
      <c r="K447" s="50">
        <f t="shared" si="241"/>
        <v>0</v>
      </c>
      <c r="L447" s="50">
        <f t="shared" si="241"/>
        <v>0</v>
      </c>
      <c r="M447" s="37">
        <f t="shared" si="241"/>
        <v>0</v>
      </c>
      <c r="N447" s="37">
        <f t="shared" si="241"/>
        <v>0</v>
      </c>
      <c r="O447" s="50">
        <f t="shared" si="241"/>
        <v>0</v>
      </c>
      <c r="P447" s="18">
        <f t="shared" si="222"/>
        <v>1574039</v>
      </c>
    </row>
    <row r="448" spans="1:16" ht="14.25" customHeight="1" x14ac:dyDescent="0.25">
      <c r="A448" s="149">
        <f t="shared" ref="A448:A511" si="242">A445+1</f>
        <v>147</v>
      </c>
      <c r="B448" s="134" t="s">
        <v>8</v>
      </c>
      <c r="C448" s="145" t="s">
        <v>538</v>
      </c>
      <c r="D448" s="158" t="s">
        <v>539</v>
      </c>
      <c r="E448" s="158" t="s">
        <v>540</v>
      </c>
      <c r="F448" s="12" t="s">
        <v>541</v>
      </c>
      <c r="G448" s="44" t="s">
        <v>12</v>
      </c>
      <c r="H448" s="43">
        <v>86612</v>
      </c>
      <c r="I448" s="43">
        <v>86612</v>
      </c>
      <c r="J448" s="43">
        <v>86612</v>
      </c>
      <c r="K448" s="43">
        <v>86612</v>
      </c>
      <c r="L448" s="43">
        <v>86612</v>
      </c>
      <c r="M448" s="43">
        <v>86612</v>
      </c>
      <c r="N448" s="43">
        <v>86612</v>
      </c>
      <c r="O448" s="43">
        <f>1190873-433060-86612-86612</f>
        <v>584589</v>
      </c>
      <c r="P448" s="13">
        <f t="shared" si="222"/>
        <v>1190873</v>
      </c>
    </row>
    <row r="449" spans="1:16" ht="14.25" customHeight="1" x14ac:dyDescent="0.25">
      <c r="A449" s="150"/>
      <c r="B449" s="134"/>
      <c r="C449" s="135"/>
      <c r="D449" s="133"/>
      <c r="E449" s="133"/>
      <c r="F449" s="14" t="s">
        <v>542</v>
      </c>
      <c r="G449" s="14" t="s">
        <v>316</v>
      </c>
      <c r="H449" s="39">
        <v>40669</v>
      </c>
      <c r="I449" s="39">
        <v>39055</v>
      </c>
      <c r="J449" s="39">
        <v>26046</v>
      </c>
      <c r="K449" s="39">
        <v>32845</v>
      </c>
      <c r="L449" s="39">
        <v>29744</v>
      </c>
      <c r="M449" s="39">
        <v>26647</v>
      </c>
      <c r="N449" s="39">
        <v>2361</v>
      </c>
      <c r="O449" s="39">
        <f>77977</f>
        <v>77977</v>
      </c>
      <c r="P449" s="15">
        <f t="shared" si="222"/>
        <v>275344</v>
      </c>
    </row>
    <row r="450" spans="1:16" ht="14.25" customHeight="1" x14ac:dyDescent="0.25">
      <c r="A450" s="151"/>
      <c r="B450" s="134"/>
      <c r="C450" s="135"/>
      <c r="D450" s="133"/>
      <c r="E450" s="133"/>
      <c r="F450" s="41"/>
      <c r="G450" s="16" t="s">
        <v>14</v>
      </c>
      <c r="H450" s="33">
        <f t="shared" ref="H450:O450" si="243">SUM(H448:H449)</f>
        <v>127281</v>
      </c>
      <c r="I450" s="33">
        <f t="shared" si="243"/>
        <v>125667</v>
      </c>
      <c r="J450" s="33">
        <f t="shared" si="243"/>
        <v>112658</v>
      </c>
      <c r="K450" s="33">
        <f t="shared" si="243"/>
        <v>119457</v>
      </c>
      <c r="L450" s="33">
        <f t="shared" si="243"/>
        <v>116356</v>
      </c>
      <c r="M450" s="33">
        <f t="shared" si="243"/>
        <v>113259</v>
      </c>
      <c r="N450" s="33">
        <f t="shared" si="243"/>
        <v>88973</v>
      </c>
      <c r="O450" s="33">
        <f t="shared" si="243"/>
        <v>662566</v>
      </c>
      <c r="P450" s="18">
        <f t="shared" si="222"/>
        <v>1466217</v>
      </c>
    </row>
    <row r="451" spans="1:16" ht="14.25" customHeight="1" x14ac:dyDescent="0.25">
      <c r="A451" s="149">
        <f t="shared" si="242"/>
        <v>148</v>
      </c>
      <c r="B451" s="134" t="s">
        <v>8</v>
      </c>
      <c r="C451" s="145" t="s">
        <v>543</v>
      </c>
      <c r="D451" s="158" t="s">
        <v>539</v>
      </c>
      <c r="E451" s="158" t="s">
        <v>540</v>
      </c>
      <c r="F451" s="12" t="s">
        <v>544</v>
      </c>
      <c r="G451" s="44" t="s">
        <v>12</v>
      </c>
      <c r="H451" s="43">
        <v>8508</v>
      </c>
      <c r="I451" s="43">
        <v>8508</v>
      </c>
      <c r="J451" s="43">
        <v>8508</v>
      </c>
      <c r="K451" s="43">
        <v>8508</v>
      </c>
      <c r="L451" s="43">
        <v>8508</v>
      </c>
      <c r="M451" s="51">
        <v>8508</v>
      </c>
      <c r="N451" s="43">
        <v>8508</v>
      </c>
      <c r="O451" s="49">
        <f>121188-46794-8508-8508</f>
        <v>57378</v>
      </c>
      <c r="P451" s="13">
        <f t="shared" si="222"/>
        <v>116934</v>
      </c>
    </row>
    <row r="452" spans="1:16" ht="14.25" customHeight="1" x14ac:dyDescent="0.25">
      <c r="A452" s="150"/>
      <c r="B452" s="134"/>
      <c r="C452" s="135"/>
      <c r="D452" s="133"/>
      <c r="E452" s="133"/>
      <c r="F452" s="14" t="s">
        <v>545</v>
      </c>
      <c r="G452" s="14" t="s">
        <v>316</v>
      </c>
      <c r="H452" s="39">
        <v>4010</v>
      </c>
      <c r="I452" s="39">
        <v>3835</v>
      </c>
      <c r="J452" s="52">
        <v>3539</v>
      </c>
      <c r="K452" s="52">
        <v>3225</v>
      </c>
      <c r="L452" s="52">
        <v>2920</v>
      </c>
      <c r="M452" s="48">
        <v>2616</v>
      </c>
      <c r="N452" s="39">
        <v>2318</v>
      </c>
      <c r="O452" s="52">
        <f>7648</f>
        <v>7648</v>
      </c>
      <c r="P452" s="15">
        <f t="shared" si="222"/>
        <v>30111</v>
      </c>
    </row>
    <row r="453" spans="1:16" ht="14.25" customHeight="1" x14ac:dyDescent="0.25">
      <c r="A453" s="151"/>
      <c r="B453" s="134"/>
      <c r="C453" s="135"/>
      <c r="D453" s="133"/>
      <c r="E453" s="133"/>
      <c r="F453" s="41"/>
      <c r="G453" s="16" t="s">
        <v>14</v>
      </c>
      <c r="H453" s="33">
        <f t="shared" ref="H453:O453" si="244">SUM(H451:H452)</f>
        <v>12518</v>
      </c>
      <c r="I453" s="33">
        <f t="shared" si="244"/>
        <v>12343</v>
      </c>
      <c r="J453" s="33">
        <f t="shared" si="244"/>
        <v>12047</v>
      </c>
      <c r="K453" s="33">
        <f t="shared" si="244"/>
        <v>11733</v>
      </c>
      <c r="L453" s="33">
        <f t="shared" si="244"/>
        <v>11428</v>
      </c>
      <c r="M453" s="33">
        <f t="shared" si="244"/>
        <v>11124</v>
      </c>
      <c r="N453" s="33">
        <f t="shared" si="244"/>
        <v>10826</v>
      </c>
      <c r="O453" s="33">
        <f t="shared" si="244"/>
        <v>65026</v>
      </c>
      <c r="P453" s="18">
        <f t="shared" si="222"/>
        <v>147045</v>
      </c>
    </row>
    <row r="454" spans="1:16" ht="14.25" customHeight="1" x14ac:dyDescent="0.25">
      <c r="A454" s="149">
        <f t="shared" si="242"/>
        <v>149</v>
      </c>
      <c r="B454" s="134" t="s">
        <v>8</v>
      </c>
      <c r="C454" s="163" t="s">
        <v>546</v>
      </c>
      <c r="D454" s="158" t="s">
        <v>539</v>
      </c>
      <c r="E454" s="158" t="s">
        <v>540</v>
      </c>
      <c r="F454" s="12" t="s">
        <v>547</v>
      </c>
      <c r="G454" s="44" t="s">
        <v>12</v>
      </c>
      <c r="H454" s="43">
        <v>6452</v>
      </c>
      <c r="I454" s="43">
        <v>6452</v>
      </c>
      <c r="J454" s="43">
        <v>6452</v>
      </c>
      <c r="K454" s="43">
        <v>6452</v>
      </c>
      <c r="L454" s="43">
        <v>6452</v>
      </c>
      <c r="M454" s="51">
        <v>6452</v>
      </c>
      <c r="N454" s="51">
        <v>6452</v>
      </c>
      <c r="O454" s="43">
        <f>91916-35486-6452-6452</f>
        <v>43526</v>
      </c>
      <c r="P454" s="13">
        <f t="shared" si="222"/>
        <v>88690</v>
      </c>
    </row>
    <row r="455" spans="1:16" ht="14.25" customHeight="1" x14ac:dyDescent="0.25">
      <c r="A455" s="150"/>
      <c r="B455" s="134"/>
      <c r="C455" s="163"/>
      <c r="D455" s="133"/>
      <c r="E455" s="133"/>
      <c r="F455" s="14" t="s">
        <v>548</v>
      </c>
      <c r="G455" s="14" t="s">
        <v>316</v>
      </c>
      <c r="H455" s="39">
        <v>3041</v>
      </c>
      <c r="I455" s="39">
        <v>2908</v>
      </c>
      <c r="J455" s="39">
        <v>2684</v>
      </c>
      <c r="K455" s="39">
        <v>2445</v>
      </c>
      <c r="L455" s="39">
        <v>2215</v>
      </c>
      <c r="M455" s="48">
        <v>1984</v>
      </c>
      <c r="N455" s="48">
        <v>1759</v>
      </c>
      <c r="O455" s="39">
        <f>5803</f>
        <v>5803</v>
      </c>
      <c r="P455" s="15">
        <f t="shared" si="222"/>
        <v>22839</v>
      </c>
    </row>
    <row r="456" spans="1:16" ht="21" customHeight="1" x14ac:dyDescent="0.25">
      <c r="A456" s="151"/>
      <c r="B456" s="134"/>
      <c r="C456" s="163"/>
      <c r="D456" s="133"/>
      <c r="E456" s="133"/>
      <c r="F456" s="41"/>
      <c r="G456" s="16" t="s">
        <v>14</v>
      </c>
      <c r="H456" s="33">
        <f t="shared" ref="H456:O456" si="245">SUM(H454:H455)</f>
        <v>9493</v>
      </c>
      <c r="I456" s="33">
        <f t="shared" si="245"/>
        <v>9360</v>
      </c>
      <c r="J456" s="33">
        <f t="shared" si="245"/>
        <v>9136</v>
      </c>
      <c r="K456" s="33">
        <f t="shared" si="245"/>
        <v>8897</v>
      </c>
      <c r="L456" s="33">
        <f t="shared" si="245"/>
        <v>8667</v>
      </c>
      <c r="M456" s="33">
        <f t="shared" si="245"/>
        <v>8436</v>
      </c>
      <c r="N456" s="33">
        <f t="shared" si="245"/>
        <v>8211</v>
      </c>
      <c r="O456" s="33">
        <f t="shared" si="245"/>
        <v>49329</v>
      </c>
      <c r="P456" s="18">
        <f t="shared" si="222"/>
        <v>111529</v>
      </c>
    </row>
    <row r="457" spans="1:16" ht="14.25" customHeight="1" x14ac:dyDescent="0.25">
      <c r="A457" s="149">
        <f t="shared" si="242"/>
        <v>150</v>
      </c>
      <c r="B457" s="134" t="s">
        <v>8</v>
      </c>
      <c r="C457" s="145" t="s">
        <v>549</v>
      </c>
      <c r="D457" s="158" t="s">
        <v>539</v>
      </c>
      <c r="E457" s="158" t="s">
        <v>540</v>
      </c>
      <c r="F457" s="12" t="s">
        <v>550</v>
      </c>
      <c r="G457" s="44" t="s">
        <v>12</v>
      </c>
      <c r="H457" s="51">
        <v>9376</v>
      </c>
      <c r="I457" s="51">
        <v>9376</v>
      </c>
      <c r="J457" s="51">
        <v>9376</v>
      </c>
      <c r="K457" s="51">
        <v>9376</v>
      </c>
      <c r="L457" s="51">
        <v>9376</v>
      </c>
      <c r="M457" s="51">
        <v>9376</v>
      </c>
      <c r="N457" s="51">
        <v>9376</v>
      </c>
      <c r="O457" s="51">
        <f>133597-51568-9376-9376</f>
        <v>63277</v>
      </c>
      <c r="P457" s="13">
        <f t="shared" si="222"/>
        <v>128909</v>
      </c>
    </row>
    <row r="458" spans="1:16" ht="14.25" customHeight="1" x14ac:dyDescent="0.25">
      <c r="A458" s="150"/>
      <c r="B458" s="134"/>
      <c r="C458" s="135"/>
      <c r="D458" s="133"/>
      <c r="E458" s="133"/>
      <c r="F458" s="14" t="s">
        <v>551</v>
      </c>
      <c r="G458" s="14" t="s">
        <v>316</v>
      </c>
      <c r="H458" s="48">
        <v>4420</v>
      </c>
      <c r="I458" s="48">
        <v>4228</v>
      </c>
      <c r="J458" s="48">
        <v>3902</v>
      </c>
      <c r="K458" s="48">
        <v>3555</v>
      </c>
      <c r="L458" s="48">
        <v>3220</v>
      </c>
      <c r="M458" s="48">
        <v>2884</v>
      </c>
      <c r="N458" s="48">
        <v>2556</v>
      </c>
      <c r="O458" s="48">
        <f>8440</f>
        <v>8440</v>
      </c>
      <c r="P458" s="15">
        <f t="shared" ref="P458:P521" si="246">SUM(H458:O458)</f>
        <v>33205</v>
      </c>
    </row>
    <row r="459" spans="1:16" ht="14.25" customHeight="1" x14ac:dyDescent="0.25">
      <c r="A459" s="151"/>
      <c r="B459" s="134"/>
      <c r="C459" s="135"/>
      <c r="D459" s="133"/>
      <c r="E459" s="133"/>
      <c r="F459" s="41"/>
      <c r="G459" s="16" t="s">
        <v>14</v>
      </c>
      <c r="H459" s="33">
        <f t="shared" ref="H459:O459" si="247">SUM(H457:H458)</f>
        <v>13796</v>
      </c>
      <c r="I459" s="33">
        <f t="shared" si="247"/>
        <v>13604</v>
      </c>
      <c r="J459" s="33">
        <f t="shared" si="247"/>
        <v>13278</v>
      </c>
      <c r="K459" s="33">
        <f t="shared" si="247"/>
        <v>12931</v>
      </c>
      <c r="L459" s="33">
        <f t="shared" si="247"/>
        <v>12596</v>
      </c>
      <c r="M459" s="33">
        <f t="shared" si="247"/>
        <v>12260</v>
      </c>
      <c r="N459" s="33">
        <f t="shared" si="247"/>
        <v>11932</v>
      </c>
      <c r="O459" s="33">
        <f t="shared" si="247"/>
        <v>71717</v>
      </c>
      <c r="P459" s="18">
        <f t="shared" si="246"/>
        <v>162114</v>
      </c>
    </row>
    <row r="460" spans="1:16" ht="14.25" customHeight="1" x14ac:dyDescent="0.25">
      <c r="A460" s="149">
        <f t="shared" si="242"/>
        <v>151</v>
      </c>
      <c r="B460" s="134" t="s">
        <v>8</v>
      </c>
      <c r="C460" s="145" t="s">
        <v>726</v>
      </c>
      <c r="D460" s="158" t="s">
        <v>539</v>
      </c>
      <c r="E460" s="158" t="s">
        <v>552</v>
      </c>
      <c r="F460" s="12" t="s">
        <v>553</v>
      </c>
      <c r="G460" s="44" t="s">
        <v>12</v>
      </c>
      <c r="H460" s="43">
        <v>8080</v>
      </c>
      <c r="I460" s="43">
        <v>8080</v>
      </c>
      <c r="J460" s="43">
        <v>8080</v>
      </c>
      <c r="K460" s="43">
        <v>8080</v>
      </c>
      <c r="L460" s="43">
        <v>8080</v>
      </c>
      <c r="M460" s="43">
        <v>8080</v>
      </c>
      <c r="N460" s="43">
        <v>8080</v>
      </c>
      <c r="O460" s="43">
        <f>74723-44440-8080-8080</f>
        <v>14123</v>
      </c>
      <c r="P460" s="13">
        <f t="shared" si="246"/>
        <v>70683</v>
      </c>
    </row>
    <row r="461" spans="1:16" ht="14.25" customHeight="1" x14ac:dyDescent="0.25">
      <c r="A461" s="150"/>
      <c r="B461" s="134"/>
      <c r="C461" s="135"/>
      <c r="D461" s="133"/>
      <c r="E461" s="133"/>
      <c r="F461" s="14" t="s">
        <v>554</v>
      </c>
      <c r="G461" s="14" t="s">
        <v>316</v>
      </c>
      <c r="H461" s="39">
        <v>2262</v>
      </c>
      <c r="I461" s="39">
        <v>2068</v>
      </c>
      <c r="J461" s="39">
        <v>1800</v>
      </c>
      <c r="K461" s="39">
        <v>1523</v>
      </c>
      <c r="L461" s="39">
        <v>1250</v>
      </c>
      <c r="M461" s="39">
        <v>978</v>
      </c>
      <c r="N461" s="39">
        <v>709</v>
      </c>
      <c r="O461" s="39">
        <f>589</f>
        <v>589</v>
      </c>
      <c r="P461" s="15">
        <f t="shared" si="246"/>
        <v>11179</v>
      </c>
    </row>
    <row r="462" spans="1:16" ht="14.25" customHeight="1" x14ac:dyDescent="0.25">
      <c r="A462" s="151"/>
      <c r="B462" s="134"/>
      <c r="C462" s="135"/>
      <c r="D462" s="133"/>
      <c r="E462" s="133"/>
      <c r="F462" s="41"/>
      <c r="G462" s="16" t="s">
        <v>14</v>
      </c>
      <c r="H462" s="33">
        <f t="shared" ref="H462:O462" si="248">SUM(H460:H461)</f>
        <v>10342</v>
      </c>
      <c r="I462" s="33">
        <f t="shared" si="248"/>
        <v>10148</v>
      </c>
      <c r="J462" s="33">
        <f t="shared" si="248"/>
        <v>9880</v>
      </c>
      <c r="K462" s="33">
        <f t="shared" si="248"/>
        <v>9603</v>
      </c>
      <c r="L462" s="33">
        <f t="shared" si="248"/>
        <v>9330</v>
      </c>
      <c r="M462" s="33">
        <f t="shared" si="248"/>
        <v>9058</v>
      </c>
      <c r="N462" s="33">
        <f t="shared" si="248"/>
        <v>8789</v>
      </c>
      <c r="O462" s="33">
        <f t="shared" si="248"/>
        <v>14712</v>
      </c>
      <c r="P462" s="18">
        <f t="shared" si="246"/>
        <v>81862</v>
      </c>
    </row>
    <row r="463" spans="1:16" ht="14.25" customHeight="1" x14ac:dyDescent="0.25">
      <c r="A463" s="149">
        <f t="shared" si="242"/>
        <v>152</v>
      </c>
      <c r="B463" s="134" t="s">
        <v>8</v>
      </c>
      <c r="C463" s="163" t="s">
        <v>555</v>
      </c>
      <c r="D463" s="158" t="s">
        <v>556</v>
      </c>
      <c r="E463" s="158" t="s">
        <v>540</v>
      </c>
      <c r="F463" s="12" t="s">
        <v>557</v>
      </c>
      <c r="G463" s="44" t="s">
        <v>12</v>
      </c>
      <c r="H463" s="43">
        <v>17720</v>
      </c>
      <c r="I463" s="43">
        <v>17720</v>
      </c>
      <c r="J463" s="43">
        <v>17720</v>
      </c>
      <c r="K463" s="43">
        <v>17720</v>
      </c>
      <c r="L463" s="43">
        <v>17720</v>
      </c>
      <c r="M463" s="43">
        <v>17720</v>
      </c>
      <c r="N463" s="43">
        <v>17720</v>
      </c>
      <c r="O463" s="43">
        <f>252490-97460-17720-17720</f>
        <v>119590</v>
      </c>
      <c r="P463" s="13">
        <f t="shared" si="246"/>
        <v>243630</v>
      </c>
    </row>
    <row r="464" spans="1:16" ht="14.25" customHeight="1" x14ac:dyDescent="0.25">
      <c r="A464" s="150"/>
      <c r="B464" s="134"/>
      <c r="C464" s="163"/>
      <c r="D464" s="133"/>
      <c r="E464" s="133"/>
      <c r="F464" s="14" t="s">
        <v>558</v>
      </c>
      <c r="G464" s="14" t="s">
        <v>316</v>
      </c>
      <c r="H464" s="39">
        <v>8354</v>
      </c>
      <c r="I464" s="39">
        <v>7990</v>
      </c>
      <c r="J464" s="39">
        <v>7374</v>
      </c>
      <c r="K464" s="39">
        <v>6719</v>
      </c>
      <c r="L464" s="39">
        <v>6085</v>
      </c>
      <c r="M464" s="39">
        <v>5451</v>
      </c>
      <c r="N464" s="39">
        <v>4831</v>
      </c>
      <c r="O464" s="39">
        <f>15951</f>
        <v>15951</v>
      </c>
      <c r="P464" s="15">
        <f t="shared" si="246"/>
        <v>62755</v>
      </c>
    </row>
    <row r="465" spans="1:17" ht="23.25" customHeight="1" x14ac:dyDescent="0.25">
      <c r="A465" s="151"/>
      <c r="B465" s="134"/>
      <c r="C465" s="163"/>
      <c r="D465" s="133"/>
      <c r="E465" s="133"/>
      <c r="F465" s="41"/>
      <c r="G465" s="16" t="s">
        <v>14</v>
      </c>
      <c r="H465" s="33">
        <f t="shared" ref="H465:O465" si="249">SUM(H463:H464)</f>
        <v>26074</v>
      </c>
      <c r="I465" s="33">
        <f t="shared" si="249"/>
        <v>25710</v>
      </c>
      <c r="J465" s="33">
        <f t="shared" si="249"/>
        <v>25094</v>
      </c>
      <c r="K465" s="33">
        <f t="shared" si="249"/>
        <v>24439</v>
      </c>
      <c r="L465" s="33">
        <f t="shared" si="249"/>
        <v>23805</v>
      </c>
      <c r="M465" s="33">
        <f t="shared" si="249"/>
        <v>23171</v>
      </c>
      <c r="N465" s="33">
        <f t="shared" si="249"/>
        <v>22551</v>
      </c>
      <c r="O465" s="33">
        <f t="shared" si="249"/>
        <v>135541</v>
      </c>
      <c r="P465" s="18">
        <f t="shared" si="246"/>
        <v>306385</v>
      </c>
    </row>
    <row r="466" spans="1:17" ht="14.25" customHeight="1" x14ac:dyDescent="0.25">
      <c r="A466" s="149">
        <f t="shared" si="242"/>
        <v>153</v>
      </c>
      <c r="B466" s="134" t="s">
        <v>8</v>
      </c>
      <c r="C466" s="145" t="s">
        <v>559</v>
      </c>
      <c r="D466" s="158" t="s">
        <v>560</v>
      </c>
      <c r="E466" s="158" t="s">
        <v>561</v>
      </c>
      <c r="F466" s="12" t="s">
        <v>562</v>
      </c>
      <c r="G466" s="44" t="s">
        <v>12</v>
      </c>
      <c r="H466" s="43">
        <v>26184</v>
      </c>
      <c r="I466" s="43">
        <v>26184</v>
      </c>
      <c r="J466" s="43">
        <v>26184</v>
      </c>
      <c r="K466" s="43">
        <v>26184</v>
      </c>
      <c r="L466" s="43">
        <v>26184</v>
      </c>
      <c r="M466" s="43">
        <v>26184</v>
      </c>
      <c r="N466" s="43">
        <v>26184</v>
      </c>
      <c r="O466" s="43">
        <f>366528-130920-26184-26184</f>
        <v>183240</v>
      </c>
      <c r="P466" s="13">
        <f t="shared" si="246"/>
        <v>366528</v>
      </c>
    </row>
    <row r="467" spans="1:17" ht="14.25" customHeight="1" x14ac:dyDescent="0.25">
      <c r="A467" s="150"/>
      <c r="B467" s="134"/>
      <c r="C467" s="135"/>
      <c r="D467" s="133"/>
      <c r="E467" s="133"/>
      <c r="F467" s="14" t="s">
        <v>563</v>
      </c>
      <c r="G467" s="14" t="s">
        <v>316</v>
      </c>
      <c r="H467" s="39">
        <v>13502</v>
      </c>
      <c r="I467" s="39">
        <v>12624</v>
      </c>
      <c r="J467" s="39">
        <v>11682</v>
      </c>
      <c r="K467" s="39">
        <v>10666</v>
      </c>
      <c r="L467" s="39">
        <v>9682</v>
      </c>
      <c r="M467" s="39">
        <v>8699</v>
      </c>
      <c r="N467" s="39">
        <v>7740</v>
      </c>
      <c r="O467" s="39">
        <f>26487</f>
        <v>26487</v>
      </c>
      <c r="P467" s="15">
        <f t="shared" si="246"/>
        <v>101082</v>
      </c>
    </row>
    <row r="468" spans="1:17" ht="14.25" customHeight="1" x14ac:dyDescent="0.25">
      <c r="A468" s="151"/>
      <c r="B468" s="134"/>
      <c r="C468" s="135"/>
      <c r="D468" s="133"/>
      <c r="E468" s="133"/>
      <c r="F468" s="41"/>
      <c r="G468" s="16" t="s">
        <v>14</v>
      </c>
      <c r="H468" s="33">
        <f t="shared" ref="H468:O468" si="250">SUM(H466:H467)</f>
        <v>39686</v>
      </c>
      <c r="I468" s="33">
        <f t="shared" si="250"/>
        <v>38808</v>
      </c>
      <c r="J468" s="33">
        <f t="shared" si="250"/>
        <v>37866</v>
      </c>
      <c r="K468" s="33">
        <f t="shared" si="250"/>
        <v>36850</v>
      </c>
      <c r="L468" s="33">
        <f t="shared" si="250"/>
        <v>35866</v>
      </c>
      <c r="M468" s="33">
        <f t="shared" si="250"/>
        <v>34883</v>
      </c>
      <c r="N468" s="33">
        <f t="shared" si="250"/>
        <v>33924</v>
      </c>
      <c r="O468" s="33">
        <f t="shared" si="250"/>
        <v>209727</v>
      </c>
      <c r="P468" s="18">
        <f t="shared" si="246"/>
        <v>467610</v>
      </c>
    </row>
    <row r="469" spans="1:17" ht="14.25" customHeight="1" x14ac:dyDescent="0.25">
      <c r="A469" s="149">
        <f t="shared" si="242"/>
        <v>154</v>
      </c>
      <c r="B469" s="134" t="s">
        <v>8</v>
      </c>
      <c r="C469" s="145" t="s">
        <v>564</v>
      </c>
      <c r="D469" s="158" t="s">
        <v>565</v>
      </c>
      <c r="E469" s="158" t="s">
        <v>566</v>
      </c>
      <c r="F469" s="12" t="s">
        <v>567</v>
      </c>
      <c r="G469" s="44" t="s">
        <v>12</v>
      </c>
      <c r="H469" s="43">
        <v>61068</v>
      </c>
      <c r="I469" s="43">
        <v>81424</v>
      </c>
      <c r="J469" s="43">
        <v>81424</v>
      </c>
      <c r="K469" s="43">
        <v>81424</v>
      </c>
      <c r="L469" s="43">
        <v>81424</v>
      </c>
      <c r="M469" s="43">
        <v>81424</v>
      </c>
      <c r="N469" s="43">
        <v>81424</v>
      </c>
      <c r="O469" s="51">
        <f>2340909-386764-81424-81424</f>
        <v>1791297</v>
      </c>
      <c r="P469" s="13">
        <f t="shared" si="246"/>
        <v>2340909</v>
      </c>
    </row>
    <row r="470" spans="1:17" ht="14.25" customHeight="1" x14ac:dyDescent="0.25">
      <c r="A470" s="150"/>
      <c r="B470" s="134"/>
      <c r="C470" s="135"/>
      <c r="D470" s="133"/>
      <c r="E470" s="133"/>
      <c r="F470" s="14" t="s">
        <v>568</v>
      </c>
      <c r="G470" s="14" t="s">
        <v>316</v>
      </c>
      <c r="H470" s="30">
        <v>50485</v>
      </c>
      <c r="I470" s="31">
        <v>87828</v>
      </c>
      <c r="J470" s="31">
        <v>84673</v>
      </c>
      <c r="K470" s="31">
        <v>81519</v>
      </c>
      <c r="L470" s="39">
        <v>78365</v>
      </c>
      <c r="M470" s="39">
        <v>75210</v>
      </c>
      <c r="N470" s="39">
        <v>72056</v>
      </c>
      <c r="O470" s="48">
        <f>857167-72056</f>
        <v>785111</v>
      </c>
      <c r="P470" s="22">
        <f t="shared" si="246"/>
        <v>1315247</v>
      </c>
    </row>
    <row r="471" spans="1:17" ht="14.25" customHeight="1" x14ac:dyDescent="0.25">
      <c r="A471" s="151"/>
      <c r="B471" s="134"/>
      <c r="C471" s="135"/>
      <c r="D471" s="133"/>
      <c r="E471" s="133"/>
      <c r="F471" s="41"/>
      <c r="G471" s="16" t="s">
        <v>14</v>
      </c>
      <c r="H471" s="33">
        <f t="shared" ref="H471:O471" si="251">SUM(H469:H470)</f>
        <v>111553</v>
      </c>
      <c r="I471" s="33">
        <f t="shared" si="251"/>
        <v>169252</v>
      </c>
      <c r="J471" s="33">
        <f t="shared" si="251"/>
        <v>166097</v>
      </c>
      <c r="K471" s="33">
        <f t="shared" si="251"/>
        <v>162943</v>
      </c>
      <c r="L471" s="33">
        <f t="shared" si="251"/>
        <v>159789</v>
      </c>
      <c r="M471" s="33">
        <f t="shared" si="251"/>
        <v>156634</v>
      </c>
      <c r="N471" s="33">
        <f t="shared" si="251"/>
        <v>153480</v>
      </c>
      <c r="O471" s="33">
        <f t="shared" si="251"/>
        <v>2576408</v>
      </c>
      <c r="P471" s="18">
        <f t="shared" si="246"/>
        <v>3656156</v>
      </c>
    </row>
    <row r="472" spans="1:17" ht="14.25" customHeight="1" x14ac:dyDescent="0.25">
      <c r="A472" s="149">
        <f t="shared" si="242"/>
        <v>155</v>
      </c>
      <c r="B472" s="134" t="s">
        <v>8</v>
      </c>
      <c r="C472" s="145" t="s">
        <v>736</v>
      </c>
      <c r="D472" s="158" t="s">
        <v>565</v>
      </c>
      <c r="E472" s="158" t="s">
        <v>566</v>
      </c>
      <c r="F472" s="12" t="s">
        <v>569</v>
      </c>
      <c r="G472" s="44" t="s">
        <v>12</v>
      </c>
      <c r="H472" s="53">
        <f>110274-26895</f>
        <v>83379</v>
      </c>
      <c r="I472" s="43">
        <v>111172</v>
      </c>
      <c r="J472" s="43">
        <v>111172</v>
      </c>
      <c r="K472" s="43">
        <v>111172</v>
      </c>
      <c r="L472" s="43">
        <v>111172</v>
      </c>
      <c r="M472" s="43">
        <v>111172</v>
      </c>
      <c r="N472" s="43">
        <v>111172</v>
      </c>
      <c r="O472" s="53">
        <f>3196142-750411</f>
        <v>2445731</v>
      </c>
      <c r="P472" s="13">
        <f t="shared" si="246"/>
        <v>3196142</v>
      </c>
      <c r="Q472" s="54"/>
    </row>
    <row r="473" spans="1:17" ht="14.25" customHeight="1" x14ac:dyDescent="0.25">
      <c r="A473" s="150"/>
      <c r="B473" s="134"/>
      <c r="C473" s="135"/>
      <c r="D473" s="133"/>
      <c r="E473" s="133"/>
      <c r="F473" s="14" t="s">
        <v>570</v>
      </c>
      <c r="G473" s="14" t="s">
        <v>316</v>
      </c>
      <c r="H473" s="55">
        <f>148071-31820-3278</f>
        <v>112973</v>
      </c>
      <c r="I473" s="39">
        <v>133096</v>
      </c>
      <c r="J473" s="39">
        <v>128316</v>
      </c>
      <c r="K473" s="39">
        <v>123535</v>
      </c>
      <c r="L473" s="39">
        <v>118755</v>
      </c>
      <c r="M473" s="39">
        <v>113975</v>
      </c>
      <c r="N473" s="39">
        <v>109195</v>
      </c>
      <c r="O473" s="39">
        <f>2092263-902497</f>
        <v>1189766</v>
      </c>
      <c r="P473" s="22">
        <f t="shared" si="246"/>
        <v>2029611</v>
      </c>
      <c r="Q473" s="54"/>
    </row>
    <row r="474" spans="1:17" ht="14.25" customHeight="1" x14ac:dyDescent="0.25">
      <c r="A474" s="151"/>
      <c r="B474" s="134"/>
      <c r="C474" s="135"/>
      <c r="D474" s="133"/>
      <c r="E474" s="133"/>
      <c r="F474" s="41"/>
      <c r="G474" s="16" t="s">
        <v>14</v>
      </c>
      <c r="H474" s="33">
        <f t="shared" ref="H474:O474" si="252">SUM(H472:H473)</f>
        <v>196352</v>
      </c>
      <c r="I474" s="33">
        <f t="shared" si="252"/>
        <v>244268</v>
      </c>
      <c r="J474" s="33">
        <f t="shared" si="252"/>
        <v>239488</v>
      </c>
      <c r="K474" s="33">
        <f t="shared" si="252"/>
        <v>234707</v>
      </c>
      <c r="L474" s="33">
        <f t="shared" si="252"/>
        <v>229927</v>
      </c>
      <c r="M474" s="33">
        <f t="shared" si="252"/>
        <v>225147</v>
      </c>
      <c r="N474" s="33">
        <f t="shared" si="252"/>
        <v>220367</v>
      </c>
      <c r="O474" s="33">
        <f t="shared" si="252"/>
        <v>3635497</v>
      </c>
      <c r="P474" s="18">
        <f t="shared" si="246"/>
        <v>5225753</v>
      </c>
    </row>
    <row r="475" spans="1:17" ht="14.25" customHeight="1" x14ac:dyDescent="0.25">
      <c r="A475" s="149">
        <f t="shared" si="242"/>
        <v>156</v>
      </c>
      <c r="B475" s="134" t="s">
        <v>8</v>
      </c>
      <c r="C475" s="145" t="s">
        <v>571</v>
      </c>
      <c r="D475" s="170" t="s">
        <v>572</v>
      </c>
      <c r="E475" s="170" t="s">
        <v>573</v>
      </c>
      <c r="F475" s="12" t="s">
        <v>574</v>
      </c>
      <c r="G475" s="56" t="s">
        <v>12</v>
      </c>
      <c r="H475" s="51">
        <v>3801</v>
      </c>
      <c r="I475" s="43">
        <v>15204</v>
      </c>
      <c r="J475" s="43">
        <v>15204</v>
      </c>
      <c r="K475" s="43">
        <v>15204</v>
      </c>
      <c r="L475" s="43">
        <v>15204</v>
      </c>
      <c r="M475" s="43">
        <v>15204</v>
      </c>
      <c r="N475" s="43">
        <v>15204</v>
      </c>
      <c r="O475" s="43">
        <f>209006-79821-15204</f>
        <v>113981</v>
      </c>
      <c r="P475" s="57">
        <f t="shared" si="246"/>
        <v>209006</v>
      </c>
    </row>
    <row r="476" spans="1:17" ht="14.25" customHeight="1" x14ac:dyDescent="0.25">
      <c r="A476" s="150"/>
      <c r="B476" s="134"/>
      <c r="C476" s="135"/>
      <c r="D476" s="171"/>
      <c r="E476" s="171"/>
      <c r="F476" s="14" t="s">
        <v>575</v>
      </c>
      <c r="G476" s="14" t="s">
        <v>316</v>
      </c>
      <c r="H476" s="48">
        <v>7634</v>
      </c>
      <c r="I476" s="48">
        <v>7647</v>
      </c>
      <c r="J476" s="48">
        <v>7092</v>
      </c>
      <c r="K476" s="48">
        <v>6499</v>
      </c>
      <c r="L476" s="48">
        <v>5926</v>
      </c>
      <c r="M476" s="48">
        <v>5354</v>
      </c>
      <c r="N476" s="48">
        <v>4795</v>
      </c>
      <c r="O476" s="48">
        <f>17600</f>
        <v>17600</v>
      </c>
      <c r="P476" s="30">
        <f t="shared" si="246"/>
        <v>62547</v>
      </c>
    </row>
    <row r="477" spans="1:17" ht="14.25" customHeight="1" x14ac:dyDescent="0.25">
      <c r="A477" s="151"/>
      <c r="B477" s="134"/>
      <c r="C477" s="135"/>
      <c r="D477" s="171"/>
      <c r="E477" s="171"/>
      <c r="F477" s="58"/>
      <c r="G477" s="59" t="s">
        <v>14</v>
      </c>
      <c r="H477" s="60">
        <f t="shared" ref="H477:O477" si="253">SUM(H475:H476)</f>
        <v>11435</v>
      </c>
      <c r="I477" s="33">
        <f t="shared" si="253"/>
        <v>22851</v>
      </c>
      <c r="J477" s="33">
        <f t="shared" si="253"/>
        <v>22296</v>
      </c>
      <c r="K477" s="33">
        <f t="shared" si="253"/>
        <v>21703</v>
      </c>
      <c r="L477" s="33">
        <f t="shared" si="253"/>
        <v>21130</v>
      </c>
      <c r="M477" s="33">
        <f t="shared" si="253"/>
        <v>20558</v>
      </c>
      <c r="N477" s="33">
        <f t="shared" si="253"/>
        <v>19999</v>
      </c>
      <c r="O477" s="33">
        <f t="shared" si="253"/>
        <v>131581</v>
      </c>
      <c r="P477" s="47">
        <f t="shared" si="246"/>
        <v>271553</v>
      </c>
    </row>
    <row r="478" spans="1:17" ht="14.25" customHeight="1" x14ac:dyDescent="0.25">
      <c r="A478" s="149">
        <f t="shared" si="242"/>
        <v>157</v>
      </c>
      <c r="B478" s="134" t="s">
        <v>8</v>
      </c>
      <c r="C478" s="145" t="s">
        <v>576</v>
      </c>
      <c r="D478" s="158" t="s">
        <v>577</v>
      </c>
      <c r="E478" s="158" t="s">
        <v>578</v>
      </c>
      <c r="F478" s="12" t="s">
        <v>579</v>
      </c>
      <c r="G478" s="44" t="s">
        <v>12</v>
      </c>
      <c r="H478" s="43">
        <v>2606</v>
      </c>
      <c r="I478" s="43">
        <v>10424</v>
      </c>
      <c r="J478" s="43">
        <v>10424</v>
      </c>
      <c r="K478" s="43">
        <v>10424</v>
      </c>
      <c r="L478" s="43">
        <v>10424</v>
      </c>
      <c r="M478" s="43">
        <v>10424</v>
      </c>
      <c r="N478" s="43">
        <v>10424</v>
      </c>
      <c r="O478" s="43">
        <f>91208-54726-10424</f>
        <v>26058</v>
      </c>
      <c r="P478" s="57">
        <f t="shared" si="246"/>
        <v>91208</v>
      </c>
    </row>
    <row r="479" spans="1:17" ht="14.25" customHeight="1" x14ac:dyDescent="0.25">
      <c r="A479" s="150"/>
      <c r="B479" s="134"/>
      <c r="C479" s="135"/>
      <c r="D479" s="133"/>
      <c r="E479" s="133"/>
      <c r="F479" s="14" t="s">
        <v>580</v>
      </c>
      <c r="G479" s="14" t="s">
        <v>316</v>
      </c>
      <c r="H479" s="39">
        <v>2842</v>
      </c>
      <c r="I479" s="48">
        <v>2860</v>
      </c>
      <c r="J479" s="48">
        <v>2523</v>
      </c>
      <c r="K479" s="48">
        <v>2174</v>
      </c>
      <c r="L479" s="48">
        <v>1831</v>
      </c>
      <c r="M479" s="48">
        <v>1489</v>
      </c>
      <c r="N479" s="48">
        <v>1150</v>
      </c>
      <c r="O479" s="48">
        <f>1377</f>
        <v>1377</v>
      </c>
      <c r="P479" s="30">
        <f t="shared" si="246"/>
        <v>16246</v>
      </c>
    </row>
    <row r="480" spans="1:17" ht="14.25" customHeight="1" x14ac:dyDescent="0.25">
      <c r="A480" s="151"/>
      <c r="B480" s="134"/>
      <c r="C480" s="135"/>
      <c r="D480" s="133"/>
      <c r="E480" s="133"/>
      <c r="F480" s="58"/>
      <c r="G480" s="16" t="s">
        <v>14</v>
      </c>
      <c r="H480" s="33">
        <f t="shared" ref="H480:O480" si="254">SUM(H478:H479)</f>
        <v>5448</v>
      </c>
      <c r="I480" s="33">
        <f t="shared" si="254"/>
        <v>13284</v>
      </c>
      <c r="J480" s="33">
        <f t="shared" si="254"/>
        <v>12947</v>
      </c>
      <c r="K480" s="33">
        <f t="shared" si="254"/>
        <v>12598</v>
      </c>
      <c r="L480" s="33">
        <f t="shared" si="254"/>
        <v>12255</v>
      </c>
      <c r="M480" s="33">
        <f t="shared" si="254"/>
        <v>11913</v>
      </c>
      <c r="N480" s="33">
        <f t="shared" si="254"/>
        <v>11574</v>
      </c>
      <c r="O480" s="33">
        <f t="shared" si="254"/>
        <v>27435</v>
      </c>
      <c r="P480" s="50">
        <f t="shared" si="246"/>
        <v>107454</v>
      </c>
    </row>
    <row r="481" spans="1:16" ht="14.25" customHeight="1" x14ac:dyDescent="0.25">
      <c r="A481" s="149">
        <f t="shared" si="242"/>
        <v>158</v>
      </c>
      <c r="B481" s="134" t="s">
        <v>8</v>
      </c>
      <c r="C481" s="145" t="s">
        <v>581</v>
      </c>
      <c r="D481" s="158" t="s">
        <v>577</v>
      </c>
      <c r="E481" s="158" t="s">
        <v>582</v>
      </c>
      <c r="F481" s="12" t="s">
        <v>583</v>
      </c>
      <c r="G481" s="44" t="s">
        <v>12</v>
      </c>
      <c r="H481" s="43">
        <v>18736</v>
      </c>
      <c r="I481" s="43">
        <v>74944</v>
      </c>
      <c r="J481" s="43">
        <v>74944</v>
      </c>
      <c r="K481" s="43">
        <v>74944</v>
      </c>
      <c r="L481" s="43">
        <v>74944</v>
      </c>
      <c r="M481" s="43">
        <v>74944</v>
      </c>
      <c r="N481" s="43">
        <v>74944</v>
      </c>
      <c r="O481" s="43">
        <f>1030442-393456-74944</f>
        <v>562042</v>
      </c>
      <c r="P481" s="28">
        <f t="shared" si="246"/>
        <v>1030442</v>
      </c>
    </row>
    <row r="482" spans="1:16" ht="14.25" customHeight="1" x14ac:dyDescent="0.25">
      <c r="A482" s="150"/>
      <c r="B482" s="134"/>
      <c r="C482" s="135"/>
      <c r="D482" s="133"/>
      <c r="E482" s="133"/>
      <c r="F482" s="46" t="s">
        <v>584</v>
      </c>
      <c r="G482" s="14" t="s">
        <v>316</v>
      </c>
      <c r="H482" s="39">
        <v>28936</v>
      </c>
      <c r="I482" s="48">
        <v>32937</v>
      </c>
      <c r="J482" s="48">
        <v>30318</v>
      </c>
      <c r="K482" s="48">
        <v>29700</v>
      </c>
      <c r="L482" s="48">
        <v>27081</v>
      </c>
      <c r="M482" s="48">
        <v>24463</v>
      </c>
      <c r="N482" s="48">
        <v>21844</v>
      </c>
      <c r="O482" s="48">
        <f>281937-179577-21844</f>
        <v>80516</v>
      </c>
      <c r="P482" s="22">
        <f t="shared" si="246"/>
        <v>275795</v>
      </c>
    </row>
    <row r="483" spans="1:16" ht="14.25" customHeight="1" x14ac:dyDescent="0.25">
      <c r="A483" s="151"/>
      <c r="B483" s="134"/>
      <c r="C483" s="135"/>
      <c r="D483" s="133"/>
      <c r="E483" s="133"/>
      <c r="F483" s="41"/>
      <c r="G483" s="16" t="s">
        <v>14</v>
      </c>
      <c r="H483" s="33">
        <f t="shared" ref="H483:O483" si="255">SUM(H481:H482)</f>
        <v>47672</v>
      </c>
      <c r="I483" s="33">
        <f t="shared" si="255"/>
        <v>107881</v>
      </c>
      <c r="J483" s="33">
        <f t="shared" si="255"/>
        <v>105262</v>
      </c>
      <c r="K483" s="33">
        <f t="shared" si="255"/>
        <v>104644</v>
      </c>
      <c r="L483" s="33">
        <f t="shared" si="255"/>
        <v>102025</v>
      </c>
      <c r="M483" s="33">
        <f t="shared" si="255"/>
        <v>99407</v>
      </c>
      <c r="N483" s="33">
        <f t="shared" si="255"/>
        <v>96788</v>
      </c>
      <c r="O483" s="33">
        <f t="shared" si="255"/>
        <v>642558</v>
      </c>
      <c r="P483" s="18">
        <f t="shared" si="246"/>
        <v>1306237</v>
      </c>
    </row>
    <row r="484" spans="1:16" ht="14.25" customHeight="1" x14ac:dyDescent="0.25">
      <c r="A484" s="149">
        <f t="shared" si="242"/>
        <v>159</v>
      </c>
      <c r="B484" s="134" t="s">
        <v>8</v>
      </c>
      <c r="C484" s="145" t="s">
        <v>585</v>
      </c>
      <c r="D484" s="158" t="s">
        <v>577</v>
      </c>
      <c r="E484" s="158" t="s">
        <v>586</v>
      </c>
      <c r="F484" s="12" t="s">
        <v>587</v>
      </c>
      <c r="G484" s="44" t="s">
        <v>12</v>
      </c>
      <c r="H484" s="43">
        <v>9213</v>
      </c>
      <c r="I484" s="43">
        <v>12284</v>
      </c>
      <c r="J484" s="43">
        <v>12284</v>
      </c>
      <c r="K484" s="43">
        <v>12284</v>
      </c>
      <c r="L484" s="43">
        <v>12284</v>
      </c>
      <c r="M484" s="43">
        <v>12284</v>
      </c>
      <c r="N484" s="43">
        <v>6141</v>
      </c>
      <c r="O484" s="43">
        <v>0</v>
      </c>
      <c r="P484" s="28">
        <f t="shared" si="246"/>
        <v>76774</v>
      </c>
    </row>
    <row r="485" spans="1:16" ht="14.25" customHeight="1" x14ac:dyDescent="0.25">
      <c r="A485" s="150"/>
      <c r="B485" s="134"/>
      <c r="C485" s="135"/>
      <c r="D485" s="133"/>
      <c r="E485" s="133"/>
      <c r="F485" s="14" t="s">
        <v>588</v>
      </c>
      <c r="G485" s="14" t="s">
        <v>316</v>
      </c>
      <c r="H485" s="48">
        <v>1947</v>
      </c>
      <c r="I485" s="48">
        <v>2076</v>
      </c>
      <c r="J485" s="48">
        <v>1691</v>
      </c>
      <c r="K485" s="48">
        <v>1298</v>
      </c>
      <c r="L485" s="48">
        <v>910</v>
      </c>
      <c r="M485" s="48">
        <v>522</v>
      </c>
      <c r="N485" s="48">
        <v>130</v>
      </c>
      <c r="O485" s="48">
        <v>0</v>
      </c>
      <c r="P485" s="22">
        <f t="shared" si="246"/>
        <v>8574</v>
      </c>
    </row>
    <row r="486" spans="1:16" ht="14.25" customHeight="1" x14ac:dyDescent="0.25">
      <c r="A486" s="151"/>
      <c r="B486" s="134"/>
      <c r="C486" s="135"/>
      <c r="D486" s="133"/>
      <c r="E486" s="133"/>
      <c r="F486" s="41"/>
      <c r="G486" s="16" t="s">
        <v>14</v>
      </c>
      <c r="H486" s="33">
        <f t="shared" ref="H486:O486" si="256">SUM(H484:H485)</f>
        <v>11160</v>
      </c>
      <c r="I486" s="33">
        <f t="shared" si="256"/>
        <v>14360</v>
      </c>
      <c r="J486" s="33">
        <f t="shared" si="256"/>
        <v>13975</v>
      </c>
      <c r="K486" s="33">
        <f t="shared" si="256"/>
        <v>13582</v>
      </c>
      <c r="L486" s="33">
        <f t="shared" si="256"/>
        <v>13194</v>
      </c>
      <c r="M486" s="33">
        <f t="shared" si="256"/>
        <v>12806</v>
      </c>
      <c r="N486" s="33">
        <f t="shared" si="256"/>
        <v>6271</v>
      </c>
      <c r="O486" s="33">
        <f t="shared" si="256"/>
        <v>0</v>
      </c>
      <c r="P486" s="18">
        <f t="shared" si="246"/>
        <v>85348</v>
      </c>
    </row>
    <row r="487" spans="1:16" ht="14.25" customHeight="1" x14ac:dyDescent="0.25">
      <c r="A487" s="149">
        <f t="shared" si="242"/>
        <v>160</v>
      </c>
      <c r="B487" s="134" t="s">
        <v>8</v>
      </c>
      <c r="C487" s="145" t="s">
        <v>745</v>
      </c>
      <c r="D487" s="158" t="s">
        <v>577</v>
      </c>
      <c r="E487" s="158" t="s">
        <v>582</v>
      </c>
      <c r="F487" s="12" t="s">
        <v>589</v>
      </c>
      <c r="G487" s="44" t="s">
        <v>12</v>
      </c>
      <c r="H487" s="43">
        <v>2458</v>
      </c>
      <c r="I487" s="43">
        <v>9832</v>
      </c>
      <c r="J487" s="43">
        <v>9832</v>
      </c>
      <c r="K487" s="43">
        <v>9832</v>
      </c>
      <c r="L487" s="43">
        <v>9832</v>
      </c>
      <c r="M487" s="43">
        <v>9832</v>
      </c>
      <c r="N487" s="43">
        <v>9832</v>
      </c>
      <c r="O487" s="43">
        <f>135142-51618-9832</f>
        <v>73692</v>
      </c>
      <c r="P487" s="13">
        <f t="shared" si="246"/>
        <v>135142</v>
      </c>
    </row>
    <row r="488" spans="1:16" ht="14.25" customHeight="1" x14ac:dyDescent="0.25">
      <c r="A488" s="150"/>
      <c r="B488" s="134"/>
      <c r="C488" s="135"/>
      <c r="D488" s="133"/>
      <c r="E488" s="133"/>
      <c r="F488" s="14" t="s">
        <v>590</v>
      </c>
      <c r="G488" s="14" t="s">
        <v>316</v>
      </c>
      <c r="H488" s="48">
        <v>4175</v>
      </c>
      <c r="I488" s="48">
        <v>4778</v>
      </c>
      <c r="J488" s="48">
        <v>4431</v>
      </c>
      <c r="K488" s="48">
        <v>4061</v>
      </c>
      <c r="L488" s="48">
        <v>3702</v>
      </c>
      <c r="M488" s="48">
        <v>3345</v>
      </c>
      <c r="N488" s="48">
        <v>2996</v>
      </c>
      <c r="O488" s="48">
        <f>11002</f>
        <v>11002</v>
      </c>
      <c r="P488" s="15">
        <f t="shared" si="246"/>
        <v>38490</v>
      </c>
    </row>
    <row r="489" spans="1:16" ht="14.25" customHeight="1" x14ac:dyDescent="0.25">
      <c r="A489" s="151"/>
      <c r="B489" s="134"/>
      <c r="C489" s="135"/>
      <c r="D489" s="133"/>
      <c r="E489" s="133"/>
      <c r="F489" s="41"/>
      <c r="G489" s="16" t="s">
        <v>14</v>
      </c>
      <c r="H489" s="33">
        <f t="shared" ref="H489:O489" si="257">SUM(H487:H488)</f>
        <v>6633</v>
      </c>
      <c r="I489" s="33">
        <f t="shared" si="257"/>
        <v>14610</v>
      </c>
      <c r="J489" s="33">
        <f t="shared" si="257"/>
        <v>14263</v>
      </c>
      <c r="K489" s="33">
        <f t="shared" si="257"/>
        <v>13893</v>
      </c>
      <c r="L489" s="33">
        <f t="shared" si="257"/>
        <v>13534</v>
      </c>
      <c r="M489" s="33">
        <f t="shared" si="257"/>
        <v>13177</v>
      </c>
      <c r="N489" s="33">
        <f t="shared" si="257"/>
        <v>12828</v>
      </c>
      <c r="O489" s="33">
        <f t="shared" si="257"/>
        <v>84694</v>
      </c>
      <c r="P489" s="18">
        <f t="shared" si="246"/>
        <v>173632</v>
      </c>
    </row>
    <row r="490" spans="1:16" ht="14.25" customHeight="1" x14ac:dyDescent="0.25">
      <c r="A490" s="149">
        <f t="shared" si="242"/>
        <v>161</v>
      </c>
      <c r="B490" s="134" t="s">
        <v>8</v>
      </c>
      <c r="C490" s="145" t="s">
        <v>591</v>
      </c>
      <c r="D490" s="158" t="s">
        <v>592</v>
      </c>
      <c r="E490" s="158" t="s">
        <v>593</v>
      </c>
      <c r="F490" s="12" t="s">
        <v>594</v>
      </c>
      <c r="G490" s="44" t="s">
        <v>12</v>
      </c>
      <c r="H490" s="43">
        <v>0</v>
      </c>
      <c r="I490" s="43">
        <v>9532</v>
      </c>
      <c r="J490" s="43">
        <v>9532</v>
      </c>
      <c r="K490" s="43">
        <v>9532</v>
      </c>
      <c r="L490" s="43">
        <v>9532</v>
      </c>
      <c r="M490" s="43">
        <v>9532</v>
      </c>
      <c r="N490" s="43">
        <v>9532</v>
      </c>
      <c r="O490" s="43">
        <f>80996-47660-9532</f>
        <v>23804</v>
      </c>
      <c r="P490" s="34">
        <f t="shared" si="246"/>
        <v>80996</v>
      </c>
    </row>
    <row r="491" spans="1:16" ht="14.25" customHeight="1" x14ac:dyDescent="0.25">
      <c r="A491" s="150"/>
      <c r="B491" s="134"/>
      <c r="C491" s="135"/>
      <c r="D491" s="133"/>
      <c r="E491" s="133"/>
      <c r="F491" s="14" t="s">
        <v>595</v>
      </c>
      <c r="G491" s="14" t="s">
        <v>316</v>
      </c>
      <c r="H491" s="48">
        <v>2530</v>
      </c>
      <c r="I491" s="48">
        <v>2557</v>
      </c>
      <c r="J491" s="48">
        <v>2271</v>
      </c>
      <c r="K491" s="48">
        <v>1956</v>
      </c>
      <c r="L491" s="48">
        <v>1648</v>
      </c>
      <c r="M491" s="48">
        <v>1340</v>
      </c>
      <c r="N491" s="48">
        <v>1035</v>
      </c>
      <c r="O491" s="48">
        <f>1244</f>
        <v>1244</v>
      </c>
      <c r="P491" s="31">
        <f t="shared" si="246"/>
        <v>14581</v>
      </c>
    </row>
    <row r="492" spans="1:16" ht="14.25" customHeight="1" x14ac:dyDescent="0.25">
      <c r="A492" s="151"/>
      <c r="B492" s="134"/>
      <c r="C492" s="135"/>
      <c r="D492" s="133"/>
      <c r="E492" s="133"/>
      <c r="F492" s="41"/>
      <c r="G492" s="16" t="s">
        <v>14</v>
      </c>
      <c r="H492" s="33">
        <f t="shared" ref="H492:O492" si="258">SUM(H490:H491)</f>
        <v>2530</v>
      </c>
      <c r="I492" s="33">
        <f t="shared" si="258"/>
        <v>12089</v>
      </c>
      <c r="J492" s="33">
        <f t="shared" si="258"/>
        <v>11803</v>
      </c>
      <c r="K492" s="33">
        <f t="shared" si="258"/>
        <v>11488</v>
      </c>
      <c r="L492" s="33">
        <f t="shared" si="258"/>
        <v>11180</v>
      </c>
      <c r="M492" s="33">
        <f t="shared" si="258"/>
        <v>10872</v>
      </c>
      <c r="N492" s="33">
        <f t="shared" si="258"/>
        <v>10567</v>
      </c>
      <c r="O492" s="33">
        <f t="shared" si="258"/>
        <v>25048</v>
      </c>
      <c r="P492" s="47">
        <f t="shared" si="246"/>
        <v>95577</v>
      </c>
    </row>
    <row r="493" spans="1:16" ht="14.25" customHeight="1" x14ac:dyDescent="0.25">
      <c r="A493" s="149">
        <f t="shared" si="242"/>
        <v>162</v>
      </c>
      <c r="B493" s="134" t="s">
        <v>8</v>
      </c>
      <c r="C493" s="145" t="s">
        <v>596</v>
      </c>
      <c r="D493" s="158" t="s">
        <v>592</v>
      </c>
      <c r="E493" s="158" t="s">
        <v>597</v>
      </c>
      <c r="F493" s="12" t="s">
        <v>598</v>
      </c>
      <c r="G493" s="44" t="s">
        <v>12</v>
      </c>
      <c r="H493" s="43">
        <v>0</v>
      </c>
      <c r="I493" s="43">
        <v>10792</v>
      </c>
      <c r="J493" s="43">
        <v>10792</v>
      </c>
      <c r="K493" s="43">
        <v>10792</v>
      </c>
      <c r="L493" s="43">
        <v>10792</v>
      </c>
      <c r="M493" s="43">
        <v>10792</v>
      </c>
      <c r="N493" s="43">
        <v>10792</v>
      </c>
      <c r="O493" s="43">
        <f>199652-53960-10792</f>
        <v>134900</v>
      </c>
      <c r="P493" s="57">
        <f t="shared" si="246"/>
        <v>199652</v>
      </c>
    </row>
    <row r="494" spans="1:16" ht="14.25" customHeight="1" x14ac:dyDescent="0.25">
      <c r="A494" s="150"/>
      <c r="B494" s="134"/>
      <c r="C494" s="135"/>
      <c r="D494" s="133"/>
      <c r="E494" s="133"/>
      <c r="F494" s="14" t="s">
        <v>599</v>
      </c>
      <c r="G494" s="14" t="s">
        <v>316</v>
      </c>
      <c r="H494" s="48">
        <v>6630</v>
      </c>
      <c r="I494" s="48">
        <v>7191</v>
      </c>
      <c r="J494" s="48">
        <v>6837</v>
      </c>
      <c r="K494" s="48">
        <v>6425</v>
      </c>
      <c r="L494" s="48">
        <v>6032</v>
      </c>
      <c r="M494" s="48">
        <v>5639</v>
      </c>
      <c r="N494" s="48">
        <v>5261</v>
      </c>
      <c r="O494" s="48">
        <v>32445</v>
      </c>
      <c r="P494" s="30">
        <f t="shared" si="246"/>
        <v>76460</v>
      </c>
    </row>
    <row r="495" spans="1:16" ht="14.25" customHeight="1" x14ac:dyDescent="0.25">
      <c r="A495" s="151"/>
      <c r="B495" s="134"/>
      <c r="C495" s="135"/>
      <c r="D495" s="133"/>
      <c r="E495" s="133"/>
      <c r="F495" s="41"/>
      <c r="G495" s="16" t="s">
        <v>14</v>
      </c>
      <c r="H495" s="33">
        <f t="shared" ref="H495:O495" si="259">SUM(H493:H494)</f>
        <v>6630</v>
      </c>
      <c r="I495" s="33">
        <f t="shared" si="259"/>
        <v>17983</v>
      </c>
      <c r="J495" s="33">
        <f t="shared" si="259"/>
        <v>17629</v>
      </c>
      <c r="K495" s="33">
        <f t="shared" si="259"/>
        <v>17217</v>
      </c>
      <c r="L495" s="33">
        <f t="shared" si="259"/>
        <v>16824</v>
      </c>
      <c r="M495" s="33">
        <f t="shared" si="259"/>
        <v>16431</v>
      </c>
      <c r="N495" s="33">
        <f t="shared" si="259"/>
        <v>16053</v>
      </c>
      <c r="O495" s="33">
        <f t="shared" si="259"/>
        <v>167345</v>
      </c>
      <c r="P495" s="47">
        <f t="shared" si="246"/>
        <v>276112</v>
      </c>
    </row>
    <row r="496" spans="1:16" ht="14.25" customHeight="1" x14ac:dyDescent="0.25">
      <c r="A496" s="149">
        <f t="shared" si="242"/>
        <v>163</v>
      </c>
      <c r="B496" s="134" t="s">
        <v>8</v>
      </c>
      <c r="C496" s="167" t="s">
        <v>600</v>
      </c>
      <c r="D496" s="158" t="s">
        <v>592</v>
      </c>
      <c r="E496" s="158" t="s">
        <v>597</v>
      </c>
      <c r="F496" s="12" t="s">
        <v>601</v>
      </c>
      <c r="G496" s="44" t="s">
        <v>12</v>
      </c>
      <c r="H496" s="43">
        <v>0</v>
      </c>
      <c r="I496" s="43">
        <v>7728</v>
      </c>
      <c r="J496" s="43">
        <v>7728</v>
      </c>
      <c r="K496" s="43">
        <v>7728</v>
      </c>
      <c r="L496" s="43">
        <v>7728</v>
      </c>
      <c r="M496" s="43">
        <v>7728</v>
      </c>
      <c r="N496" s="43">
        <v>7728</v>
      </c>
      <c r="O496" s="43">
        <f>142927-38640-7728</f>
        <v>96559</v>
      </c>
      <c r="P496" s="57">
        <f t="shared" si="246"/>
        <v>142927</v>
      </c>
    </row>
    <row r="497" spans="1:16" ht="14.25" customHeight="1" x14ac:dyDescent="0.25">
      <c r="A497" s="150"/>
      <c r="B497" s="134"/>
      <c r="C497" s="173"/>
      <c r="D497" s="133"/>
      <c r="E497" s="133"/>
      <c r="F497" s="14" t="s">
        <v>602</v>
      </c>
      <c r="G497" s="14" t="s">
        <v>316</v>
      </c>
      <c r="H497" s="48">
        <v>4633</v>
      </c>
      <c r="I497" s="48">
        <v>5147</v>
      </c>
      <c r="J497" s="48">
        <v>4894</v>
      </c>
      <c r="K497" s="48">
        <v>4599</v>
      </c>
      <c r="L497" s="48">
        <v>4318</v>
      </c>
      <c r="M497" s="48">
        <v>4036</v>
      </c>
      <c r="N497" s="48">
        <v>3766</v>
      </c>
      <c r="O497" s="48">
        <f>23215</f>
        <v>23215</v>
      </c>
      <c r="P497" s="30">
        <f t="shared" si="246"/>
        <v>54608</v>
      </c>
    </row>
    <row r="498" spans="1:16" ht="14.25" customHeight="1" x14ac:dyDescent="0.25">
      <c r="A498" s="151"/>
      <c r="B498" s="134"/>
      <c r="C498" s="173"/>
      <c r="D498" s="133"/>
      <c r="E498" s="133"/>
      <c r="F498" s="41"/>
      <c r="G498" s="16" t="s">
        <v>14</v>
      </c>
      <c r="H498" s="33">
        <f t="shared" ref="H498:O498" si="260">SUM(H496:H497)</f>
        <v>4633</v>
      </c>
      <c r="I498" s="33">
        <f t="shared" si="260"/>
        <v>12875</v>
      </c>
      <c r="J498" s="33">
        <f t="shared" si="260"/>
        <v>12622</v>
      </c>
      <c r="K498" s="33">
        <f t="shared" si="260"/>
        <v>12327</v>
      </c>
      <c r="L498" s="33">
        <f t="shared" si="260"/>
        <v>12046</v>
      </c>
      <c r="M498" s="33">
        <f t="shared" si="260"/>
        <v>11764</v>
      </c>
      <c r="N498" s="33">
        <f t="shared" si="260"/>
        <v>11494</v>
      </c>
      <c r="O498" s="33">
        <f t="shared" si="260"/>
        <v>119774</v>
      </c>
      <c r="P498" s="47">
        <f t="shared" si="246"/>
        <v>197535</v>
      </c>
    </row>
    <row r="499" spans="1:16" ht="14.25" customHeight="1" x14ac:dyDescent="0.25">
      <c r="A499" s="149">
        <f t="shared" si="242"/>
        <v>164</v>
      </c>
      <c r="B499" s="134" t="s">
        <v>8</v>
      </c>
      <c r="C499" s="145" t="s">
        <v>603</v>
      </c>
      <c r="D499" s="158" t="s">
        <v>604</v>
      </c>
      <c r="E499" s="158" t="s">
        <v>183</v>
      </c>
      <c r="F499" s="12" t="s">
        <v>605</v>
      </c>
      <c r="G499" s="44" t="s">
        <v>12</v>
      </c>
      <c r="H499" s="43">
        <v>0</v>
      </c>
      <c r="I499" s="43">
        <v>5692</v>
      </c>
      <c r="J499" s="43">
        <v>5692</v>
      </c>
      <c r="K499" s="43">
        <v>5692</v>
      </c>
      <c r="L499" s="43">
        <v>5692</v>
      </c>
      <c r="M499" s="43">
        <v>5692</v>
      </c>
      <c r="N499" s="43">
        <v>5692</v>
      </c>
      <c r="O499" s="43">
        <f>49801-28460-5692</f>
        <v>15649</v>
      </c>
      <c r="P499" s="34">
        <f t="shared" si="246"/>
        <v>49801</v>
      </c>
    </row>
    <row r="500" spans="1:16" ht="14.25" customHeight="1" x14ac:dyDescent="0.25">
      <c r="A500" s="150"/>
      <c r="B500" s="134"/>
      <c r="C500" s="135"/>
      <c r="D500" s="133"/>
      <c r="E500" s="133"/>
      <c r="F500" s="14" t="s">
        <v>606</v>
      </c>
      <c r="G500" s="14" t="s">
        <v>316</v>
      </c>
      <c r="H500" s="48">
        <v>1398</v>
      </c>
      <c r="I500" s="48">
        <v>1494</v>
      </c>
      <c r="J500" s="48">
        <v>1332</v>
      </c>
      <c r="K500" s="48">
        <v>1153</v>
      </c>
      <c r="L500" s="48">
        <v>978</v>
      </c>
      <c r="M500" s="48">
        <v>803</v>
      </c>
      <c r="N500" s="48">
        <v>631</v>
      </c>
      <c r="O500" s="48">
        <f>828</f>
        <v>828</v>
      </c>
      <c r="P500" s="31">
        <f t="shared" si="246"/>
        <v>8617</v>
      </c>
    </row>
    <row r="501" spans="1:16" ht="14.25" customHeight="1" x14ac:dyDescent="0.25">
      <c r="A501" s="151"/>
      <c r="B501" s="134"/>
      <c r="C501" s="135"/>
      <c r="D501" s="133"/>
      <c r="E501" s="133"/>
      <c r="F501" s="41"/>
      <c r="G501" s="16" t="s">
        <v>14</v>
      </c>
      <c r="H501" s="33">
        <f t="shared" ref="H501:O501" si="261">SUM(H499:H500)</f>
        <v>1398</v>
      </c>
      <c r="I501" s="33">
        <f t="shared" si="261"/>
        <v>7186</v>
      </c>
      <c r="J501" s="33">
        <f t="shared" si="261"/>
        <v>7024</v>
      </c>
      <c r="K501" s="33">
        <f t="shared" si="261"/>
        <v>6845</v>
      </c>
      <c r="L501" s="33">
        <f t="shared" si="261"/>
        <v>6670</v>
      </c>
      <c r="M501" s="33">
        <f t="shared" si="261"/>
        <v>6495</v>
      </c>
      <c r="N501" s="33">
        <f t="shared" si="261"/>
        <v>6323</v>
      </c>
      <c r="O501" s="33">
        <f t="shared" si="261"/>
        <v>16477</v>
      </c>
      <c r="P501" s="18">
        <f t="shared" si="246"/>
        <v>58418</v>
      </c>
    </row>
    <row r="502" spans="1:16" ht="14.25" customHeight="1" x14ac:dyDescent="0.25">
      <c r="A502" s="149">
        <f t="shared" si="242"/>
        <v>165</v>
      </c>
      <c r="B502" s="134" t="s">
        <v>8</v>
      </c>
      <c r="C502" s="145" t="s">
        <v>607</v>
      </c>
      <c r="D502" s="158" t="s">
        <v>604</v>
      </c>
      <c r="E502" s="158" t="s">
        <v>183</v>
      </c>
      <c r="F502" s="12" t="s">
        <v>608</v>
      </c>
      <c r="G502" s="44" t="s">
        <v>12</v>
      </c>
      <c r="H502" s="43">
        <v>0</v>
      </c>
      <c r="I502" s="43">
        <v>6588</v>
      </c>
      <c r="J502" s="43">
        <v>6588</v>
      </c>
      <c r="K502" s="43">
        <v>6588</v>
      </c>
      <c r="L502" s="43">
        <v>6588</v>
      </c>
      <c r="M502" s="43">
        <v>6588</v>
      </c>
      <c r="N502" s="43">
        <v>6588</v>
      </c>
      <c r="O502" s="43">
        <f>57613-32940-6588</f>
        <v>18085</v>
      </c>
      <c r="P502" s="34">
        <f t="shared" si="246"/>
        <v>57613</v>
      </c>
    </row>
    <row r="503" spans="1:16" ht="14.25" customHeight="1" x14ac:dyDescent="0.25">
      <c r="A503" s="150"/>
      <c r="B503" s="134"/>
      <c r="C503" s="135"/>
      <c r="D503" s="133"/>
      <c r="E503" s="133"/>
      <c r="F503" s="14" t="s">
        <v>609</v>
      </c>
      <c r="G503" s="14" t="s">
        <v>316</v>
      </c>
      <c r="H503" s="48">
        <v>1672</v>
      </c>
      <c r="I503" s="48">
        <v>1728</v>
      </c>
      <c r="J503" s="48">
        <v>1541</v>
      </c>
      <c r="K503" s="48">
        <v>1334</v>
      </c>
      <c r="L503" s="48">
        <v>1131</v>
      </c>
      <c r="M503" s="48">
        <v>929</v>
      </c>
      <c r="N503" s="48">
        <v>729</v>
      </c>
      <c r="O503" s="48">
        <v>956</v>
      </c>
      <c r="P503" s="31">
        <f t="shared" si="246"/>
        <v>10020</v>
      </c>
    </row>
    <row r="504" spans="1:16" ht="14.25" customHeight="1" x14ac:dyDescent="0.25">
      <c r="A504" s="151"/>
      <c r="B504" s="134"/>
      <c r="C504" s="135"/>
      <c r="D504" s="133"/>
      <c r="E504" s="133"/>
      <c r="F504" s="41"/>
      <c r="G504" s="16" t="s">
        <v>14</v>
      </c>
      <c r="H504" s="33">
        <f t="shared" ref="H504:O504" si="262">SUM(H502:H503)</f>
        <v>1672</v>
      </c>
      <c r="I504" s="33">
        <f t="shared" si="262"/>
        <v>8316</v>
      </c>
      <c r="J504" s="33">
        <f t="shared" si="262"/>
        <v>8129</v>
      </c>
      <c r="K504" s="33">
        <f t="shared" si="262"/>
        <v>7922</v>
      </c>
      <c r="L504" s="33">
        <f t="shared" si="262"/>
        <v>7719</v>
      </c>
      <c r="M504" s="33">
        <f t="shared" si="262"/>
        <v>7517</v>
      </c>
      <c r="N504" s="33">
        <f t="shared" si="262"/>
        <v>7317</v>
      </c>
      <c r="O504" s="33">
        <f t="shared" si="262"/>
        <v>19041</v>
      </c>
      <c r="P504" s="47">
        <f t="shared" si="246"/>
        <v>67633</v>
      </c>
    </row>
    <row r="505" spans="1:16" ht="14.25" customHeight="1" x14ac:dyDescent="0.25">
      <c r="A505" s="149">
        <f t="shared" si="242"/>
        <v>166</v>
      </c>
      <c r="B505" s="134" t="s">
        <v>8</v>
      </c>
      <c r="C505" s="145" t="s">
        <v>610</v>
      </c>
      <c r="D505" s="158" t="s">
        <v>604</v>
      </c>
      <c r="E505" s="158" t="s">
        <v>183</v>
      </c>
      <c r="F505" s="12" t="s">
        <v>611</v>
      </c>
      <c r="G505" s="44" t="s">
        <v>12</v>
      </c>
      <c r="H505" s="43">
        <v>0</v>
      </c>
      <c r="I505" s="43">
        <v>6340</v>
      </c>
      <c r="J505" s="43">
        <v>6340</v>
      </c>
      <c r="K505" s="43">
        <v>6340</v>
      </c>
      <c r="L505" s="43">
        <v>6340</v>
      </c>
      <c r="M505" s="43">
        <v>6340</v>
      </c>
      <c r="N505" s="43">
        <v>6340</v>
      </c>
      <c r="O505" s="43">
        <f>55444-31700-6340</f>
        <v>17404</v>
      </c>
      <c r="P505" s="13">
        <f t="shared" si="246"/>
        <v>55444</v>
      </c>
    </row>
    <row r="506" spans="1:16" ht="14.25" customHeight="1" x14ac:dyDescent="0.25">
      <c r="A506" s="150"/>
      <c r="B506" s="134"/>
      <c r="C506" s="135"/>
      <c r="D506" s="133"/>
      <c r="E506" s="133"/>
      <c r="F506" s="14" t="s">
        <v>612</v>
      </c>
      <c r="G506" s="14" t="s">
        <v>316</v>
      </c>
      <c r="H506" s="48">
        <v>1609</v>
      </c>
      <c r="I506" s="48">
        <v>1663</v>
      </c>
      <c r="J506" s="48">
        <v>1482</v>
      </c>
      <c r="K506" s="48">
        <v>1283</v>
      </c>
      <c r="L506" s="48">
        <v>1089</v>
      </c>
      <c r="M506" s="48">
        <v>894</v>
      </c>
      <c r="N506" s="48">
        <v>702</v>
      </c>
      <c r="O506" s="48">
        <f>920</f>
        <v>920</v>
      </c>
      <c r="P506" s="15">
        <f t="shared" si="246"/>
        <v>9642</v>
      </c>
    </row>
    <row r="507" spans="1:16" ht="14.25" customHeight="1" x14ac:dyDescent="0.25">
      <c r="A507" s="151"/>
      <c r="B507" s="134"/>
      <c r="C507" s="135"/>
      <c r="D507" s="133"/>
      <c r="E507" s="133"/>
      <c r="F507" s="41"/>
      <c r="G507" s="16" t="s">
        <v>14</v>
      </c>
      <c r="H507" s="33">
        <f t="shared" ref="H507:O507" si="263">SUM(H505:H506)</f>
        <v>1609</v>
      </c>
      <c r="I507" s="33">
        <f t="shared" si="263"/>
        <v>8003</v>
      </c>
      <c r="J507" s="33">
        <f t="shared" si="263"/>
        <v>7822</v>
      </c>
      <c r="K507" s="33">
        <f t="shared" si="263"/>
        <v>7623</v>
      </c>
      <c r="L507" s="33">
        <f t="shared" si="263"/>
        <v>7429</v>
      </c>
      <c r="M507" s="33">
        <f t="shared" si="263"/>
        <v>7234</v>
      </c>
      <c r="N507" s="33">
        <f t="shared" si="263"/>
        <v>7042</v>
      </c>
      <c r="O507" s="33">
        <f t="shared" si="263"/>
        <v>18324</v>
      </c>
      <c r="P507" s="18">
        <f t="shared" si="246"/>
        <v>65086</v>
      </c>
    </row>
    <row r="508" spans="1:16" ht="14.25" customHeight="1" x14ac:dyDescent="0.25">
      <c r="A508" s="149">
        <f t="shared" si="242"/>
        <v>167</v>
      </c>
      <c r="B508" s="134" t="s">
        <v>8</v>
      </c>
      <c r="C508" s="145" t="s">
        <v>613</v>
      </c>
      <c r="D508" s="158" t="s">
        <v>604</v>
      </c>
      <c r="E508" s="158" t="s">
        <v>614</v>
      </c>
      <c r="F508" s="12" t="s">
        <v>615</v>
      </c>
      <c r="G508" s="44" t="s">
        <v>12</v>
      </c>
      <c r="H508" s="43">
        <v>0</v>
      </c>
      <c r="I508" s="43">
        <v>8008</v>
      </c>
      <c r="J508" s="43">
        <v>8008</v>
      </c>
      <c r="K508" s="43">
        <v>8008</v>
      </c>
      <c r="L508" s="43">
        <v>8008</v>
      </c>
      <c r="M508" s="43">
        <v>8008</v>
      </c>
      <c r="N508" s="43">
        <v>8008</v>
      </c>
      <c r="O508" s="43">
        <f>110057-40040-8008</f>
        <v>62009</v>
      </c>
      <c r="P508" s="28">
        <f t="shared" si="246"/>
        <v>110057</v>
      </c>
    </row>
    <row r="509" spans="1:16" ht="14.25" customHeight="1" x14ac:dyDescent="0.25">
      <c r="A509" s="150"/>
      <c r="B509" s="134"/>
      <c r="C509" s="135"/>
      <c r="D509" s="133"/>
      <c r="E509" s="133"/>
      <c r="F509" s="14" t="s">
        <v>616</v>
      </c>
      <c r="G509" s="14" t="s">
        <v>316</v>
      </c>
      <c r="H509" s="48">
        <v>3038</v>
      </c>
      <c r="I509" s="48">
        <v>3512</v>
      </c>
      <c r="J509" s="48">
        <v>3276</v>
      </c>
      <c r="K509" s="48">
        <v>3008</v>
      </c>
      <c r="L509" s="48">
        <v>2748</v>
      </c>
      <c r="M509" s="48">
        <v>2489</v>
      </c>
      <c r="N509" s="48">
        <v>2236</v>
      </c>
      <c r="O509" s="48">
        <f>8481</f>
        <v>8481</v>
      </c>
      <c r="P509" s="22">
        <f t="shared" si="246"/>
        <v>28788</v>
      </c>
    </row>
    <row r="510" spans="1:16" ht="14.25" customHeight="1" x14ac:dyDescent="0.25">
      <c r="A510" s="151"/>
      <c r="B510" s="134"/>
      <c r="C510" s="135"/>
      <c r="D510" s="133"/>
      <c r="E510" s="133"/>
      <c r="F510" s="41"/>
      <c r="G510" s="16" t="s">
        <v>14</v>
      </c>
      <c r="H510" s="33">
        <f t="shared" ref="H510:O510" si="264">SUM(H508:H509)</f>
        <v>3038</v>
      </c>
      <c r="I510" s="33">
        <f t="shared" si="264"/>
        <v>11520</v>
      </c>
      <c r="J510" s="33">
        <f t="shared" si="264"/>
        <v>11284</v>
      </c>
      <c r="K510" s="33">
        <f t="shared" si="264"/>
        <v>11016</v>
      </c>
      <c r="L510" s="33">
        <f t="shared" si="264"/>
        <v>10756</v>
      </c>
      <c r="M510" s="33">
        <f t="shared" si="264"/>
        <v>10497</v>
      </c>
      <c r="N510" s="33">
        <f t="shared" si="264"/>
        <v>10244</v>
      </c>
      <c r="O510" s="33">
        <f t="shared" si="264"/>
        <v>70490</v>
      </c>
      <c r="P510" s="61">
        <f t="shared" si="246"/>
        <v>138845</v>
      </c>
    </row>
    <row r="511" spans="1:16" ht="14.25" customHeight="1" x14ac:dyDescent="0.25">
      <c r="A511" s="149">
        <f t="shared" si="242"/>
        <v>168</v>
      </c>
      <c r="B511" s="134" t="s">
        <v>8</v>
      </c>
      <c r="C511" s="145" t="s">
        <v>617</v>
      </c>
      <c r="D511" s="158" t="s">
        <v>604</v>
      </c>
      <c r="E511" s="158" t="s">
        <v>614</v>
      </c>
      <c r="F511" s="12" t="s">
        <v>618</v>
      </c>
      <c r="G511" s="44" t="s">
        <v>12</v>
      </c>
      <c r="H511" s="43">
        <v>0</v>
      </c>
      <c r="I511" s="43">
        <v>21516</v>
      </c>
      <c r="J511" s="43">
        <v>21516</v>
      </c>
      <c r="K511" s="43">
        <v>21516</v>
      </c>
      <c r="L511" s="43">
        <v>21516</v>
      </c>
      <c r="M511" s="43">
        <v>21516</v>
      </c>
      <c r="N511" s="43">
        <v>21516</v>
      </c>
      <c r="O511" s="43">
        <f>295825-129096</f>
        <v>166729</v>
      </c>
      <c r="P511" s="28">
        <f t="shared" si="246"/>
        <v>295825</v>
      </c>
    </row>
    <row r="512" spans="1:16" ht="14.25" customHeight="1" x14ac:dyDescent="0.25">
      <c r="A512" s="150"/>
      <c r="B512" s="134"/>
      <c r="C512" s="135"/>
      <c r="D512" s="133"/>
      <c r="E512" s="133"/>
      <c r="F512" s="14" t="s">
        <v>619</v>
      </c>
      <c r="G512" s="14" t="s">
        <v>316</v>
      </c>
      <c r="H512" s="48">
        <v>8575</v>
      </c>
      <c r="I512" s="48">
        <v>8830</v>
      </c>
      <c r="J512" s="48">
        <v>8213</v>
      </c>
      <c r="K512" s="48">
        <v>7561</v>
      </c>
      <c r="L512" s="48">
        <v>6909</v>
      </c>
      <c r="M512" s="48">
        <v>6256</v>
      </c>
      <c r="N512" s="48">
        <v>5604</v>
      </c>
      <c r="O512" s="48">
        <f>73281-51948</f>
        <v>21333</v>
      </c>
      <c r="P512" s="22">
        <f t="shared" si="246"/>
        <v>73281</v>
      </c>
    </row>
    <row r="513" spans="1:16" ht="14.25" customHeight="1" x14ac:dyDescent="0.25">
      <c r="A513" s="151"/>
      <c r="B513" s="134"/>
      <c r="C513" s="135"/>
      <c r="D513" s="133"/>
      <c r="E513" s="133"/>
      <c r="F513" s="41"/>
      <c r="G513" s="16" t="s">
        <v>14</v>
      </c>
      <c r="H513" s="33">
        <f t="shared" ref="H513:O513" si="265">SUM(H511:H512)</f>
        <v>8575</v>
      </c>
      <c r="I513" s="33">
        <f t="shared" si="265"/>
        <v>30346</v>
      </c>
      <c r="J513" s="33">
        <f t="shared" si="265"/>
        <v>29729</v>
      </c>
      <c r="K513" s="33">
        <f t="shared" si="265"/>
        <v>29077</v>
      </c>
      <c r="L513" s="33">
        <f t="shared" si="265"/>
        <v>28425</v>
      </c>
      <c r="M513" s="33">
        <f t="shared" si="265"/>
        <v>27772</v>
      </c>
      <c r="N513" s="33">
        <f t="shared" si="265"/>
        <v>27120</v>
      </c>
      <c r="O513" s="33">
        <f t="shared" si="265"/>
        <v>188062</v>
      </c>
      <c r="P513" s="61">
        <f t="shared" si="246"/>
        <v>369106</v>
      </c>
    </row>
    <row r="514" spans="1:16" ht="14.25" customHeight="1" x14ac:dyDescent="0.25">
      <c r="A514" s="149">
        <f t="shared" ref="A514:A523" si="266">A511+1</f>
        <v>169</v>
      </c>
      <c r="B514" s="134" t="s">
        <v>8</v>
      </c>
      <c r="C514" s="145" t="s">
        <v>620</v>
      </c>
      <c r="D514" s="158" t="s">
        <v>604</v>
      </c>
      <c r="E514" s="158" t="s">
        <v>614</v>
      </c>
      <c r="F514" s="12" t="s">
        <v>621</v>
      </c>
      <c r="G514" s="44" t="s">
        <v>12</v>
      </c>
      <c r="H514" s="43">
        <v>0</v>
      </c>
      <c r="I514" s="43">
        <v>11284</v>
      </c>
      <c r="J514" s="43">
        <v>11284</v>
      </c>
      <c r="K514" s="43">
        <v>11284</v>
      </c>
      <c r="L514" s="43">
        <v>11284</v>
      </c>
      <c r="M514" s="43">
        <v>11284</v>
      </c>
      <c r="N514" s="43">
        <v>11284</v>
      </c>
      <c r="O514" s="43">
        <f>155106-56420-11284</f>
        <v>87402</v>
      </c>
      <c r="P514" s="57">
        <f t="shared" si="246"/>
        <v>155106</v>
      </c>
    </row>
    <row r="515" spans="1:16" ht="14.25" customHeight="1" x14ac:dyDescent="0.25">
      <c r="A515" s="150"/>
      <c r="B515" s="134"/>
      <c r="C515" s="135"/>
      <c r="D515" s="133"/>
      <c r="E515" s="133"/>
      <c r="F515" s="14" t="s">
        <v>622</v>
      </c>
      <c r="G515" s="14" t="s">
        <v>316</v>
      </c>
      <c r="H515" s="48">
        <v>4578</v>
      </c>
      <c r="I515" s="48">
        <v>4951</v>
      </c>
      <c r="J515" s="48">
        <v>4617</v>
      </c>
      <c r="K515" s="48">
        <v>4238</v>
      </c>
      <c r="L515" s="48">
        <v>3873</v>
      </c>
      <c r="M515" s="48">
        <v>3507</v>
      </c>
      <c r="N515" s="48">
        <v>3151</v>
      </c>
      <c r="O515" s="48">
        <f>11958</f>
        <v>11958</v>
      </c>
      <c r="P515" s="31">
        <f t="shared" si="246"/>
        <v>40873</v>
      </c>
    </row>
    <row r="516" spans="1:16" ht="14.25" customHeight="1" x14ac:dyDescent="0.25">
      <c r="A516" s="151"/>
      <c r="B516" s="134"/>
      <c r="C516" s="135"/>
      <c r="D516" s="133"/>
      <c r="E516" s="133"/>
      <c r="F516" s="41"/>
      <c r="G516" s="16" t="s">
        <v>14</v>
      </c>
      <c r="H516" s="33">
        <f t="shared" ref="H516:O516" si="267">SUM(H514:H515)</f>
        <v>4578</v>
      </c>
      <c r="I516" s="33">
        <f t="shared" si="267"/>
        <v>16235</v>
      </c>
      <c r="J516" s="33">
        <f t="shared" si="267"/>
        <v>15901</v>
      </c>
      <c r="K516" s="33">
        <f t="shared" si="267"/>
        <v>15522</v>
      </c>
      <c r="L516" s="33">
        <f t="shared" si="267"/>
        <v>15157</v>
      </c>
      <c r="M516" s="33">
        <f t="shared" si="267"/>
        <v>14791</v>
      </c>
      <c r="N516" s="33">
        <f t="shared" si="267"/>
        <v>14435</v>
      </c>
      <c r="O516" s="33">
        <f t="shared" si="267"/>
        <v>99360</v>
      </c>
      <c r="P516" s="62">
        <f t="shared" si="246"/>
        <v>195979</v>
      </c>
    </row>
    <row r="517" spans="1:16" ht="14.25" customHeight="1" x14ac:dyDescent="0.25">
      <c r="A517" s="149">
        <f t="shared" si="266"/>
        <v>170</v>
      </c>
      <c r="B517" s="134" t="s">
        <v>8</v>
      </c>
      <c r="C517" s="145" t="s">
        <v>623</v>
      </c>
      <c r="D517" s="158" t="s">
        <v>624</v>
      </c>
      <c r="E517" s="158" t="s">
        <v>625</v>
      </c>
      <c r="F517" s="12" t="s">
        <v>626</v>
      </c>
      <c r="G517" s="44" t="s">
        <v>12</v>
      </c>
      <c r="H517" s="43">
        <v>0</v>
      </c>
      <c r="I517" s="43">
        <v>19484</v>
      </c>
      <c r="J517" s="43">
        <v>19484</v>
      </c>
      <c r="K517" s="43">
        <v>19484</v>
      </c>
      <c r="L517" s="43">
        <v>19484</v>
      </c>
      <c r="M517" s="43">
        <v>19484</v>
      </c>
      <c r="N517" s="43">
        <v>19484</v>
      </c>
      <c r="O517" s="43">
        <f>170470-97420-19484</f>
        <v>53566</v>
      </c>
      <c r="P517" s="28">
        <f t="shared" si="246"/>
        <v>170470</v>
      </c>
    </row>
    <row r="518" spans="1:16" ht="14.25" customHeight="1" x14ac:dyDescent="0.25">
      <c r="A518" s="150"/>
      <c r="B518" s="134"/>
      <c r="C518" s="135"/>
      <c r="D518" s="133"/>
      <c r="E518" s="133"/>
      <c r="F518" s="14" t="s">
        <v>627</v>
      </c>
      <c r="G518" s="14" t="s">
        <v>316</v>
      </c>
      <c r="H518" s="48">
        <v>4505</v>
      </c>
      <c r="I518" s="48">
        <v>5248</v>
      </c>
      <c r="J518" s="48">
        <v>4679</v>
      </c>
      <c r="K518" s="48">
        <v>4051</v>
      </c>
      <c r="L518" s="48">
        <v>3636</v>
      </c>
      <c r="M518" s="48">
        <v>2823</v>
      </c>
      <c r="N518" s="48">
        <v>2216</v>
      </c>
      <c r="O518" s="48">
        <f>2936</f>
        <v>2936</v>
      </c>
      <c r="P518" s="22">
        <f t="shared" si="246"/>
        <v>30094</v>
      </c>
    </row>
    <row r="519" spans="1:16" ht="14.25" customHeight="1" x14ac:dyDescent="0.25">
      <c r="A519" s="151"/>
      <c r="B519" s="134"/>
      <c r="C519" s="135"/>
      <c r="D519" s="133"/>
      <c r="E519" s="133"/>
      <c r="F519" s="58"/>
      <c r="G519" s="16" t="s">
        <v>14</v>
      </c>
      <c r="H519" s="33">
        <f t="shared" ref="H519:O519" si="268">SUM(H517:H518)</f>
        <v>4505</v>
      </c>
      <c r="I519" s="33">
        <f t="shared" si="268"/>
        <v>24732</v>
      </c>
      <c r="J519" s="33">
        <f t="shared" si="268"/>
        <v>24163</v>
      </c>
      <c r="K519" s="33">
        <f t="shared" si="268"/>
        <v>23535</v>
      </c>
      <c r="L519" s="33">
        <f t="shared" si="268"/>
        <v>23120</v>
      </c>
      <c r="M519" s="33">
        <f t="shared" si="268"/>
        <v>22307</v>
      </c>
      <c r="N519" s="33">
        <f t="shared" si="268"/>
        <v>21700</v>
      </c>
      <c r="O519" s="33">
        <f t="shared" si="268"/>
        <v>56502</v>
      </c>
      <c r="P519" s="61">
        <f t="shared" si="246"/>
        <v>200564</v>
      </c>
    </row>
    <row r="520" spans="1:16" ht="14.25" customHeight="1" x14ac:dyDescent="0.25">
      <c r="A520" s="149">
        <f t="shared" si="266"/>
        <v>171</v>
      </c>
      <c r="B520" s="134" t="s">
        <v>8</v>
      </c>
      <c r="C520" s="145" t="s">
        <v>628</v>
      </c>
      <c r="D520" s="158" t="s">
        <v>624</v>
      </c>
      <c r="E520" s="158" t="s">
        <v>629</v>
      </c>
      <c r="F520" s="12" t="s">
        <v>630</v>
      </c>
      <c r="G520" s="44" t="s">
        <v>12</v>
      </c>
      <c r="H520" s="43">
        <v>16638</v>
      </c>
      <c r="I520" s="43">
        <v>33276</v>
      </c>
      <c r="J520" s="43">
        <v>33276</v>
      </c>
      <c r="K520" s="43">
        <v>33276</v>
      </c>
      <c r="L520" s="43">
        <v>33276</v>
      </c>
      <c r="M520" s="43">
        <v>33276</v>
      </c>
      <c r="N520" s="43">
        <v>24944</v>
      </c>
      <c r="O520" s="43">
        <v>0</v>
      </c>
      <c r="P520" s="28">
        <f t="shared" si="246"/>
        <v>207962</v>
      </c>
    </row>
    <row r="521" spans="1:16" ht="14.25" customHeight="1" x14ac:dyDescent="0.25">
      <c r="A521" s="150"/>
      <c r="B521" s="134"/>
      <c r="C521" s="135"/>
      <c r="D521" s="133"/>
      <c r="E521" s="133"/>
      <c r="F521" s="14" t="s">
        <v>631</v>
      </c>
      <c r="G521" s="14" t="s">
        <v>316</v>
      </c>
      <c r="H521" s="48">
        <v>4678</v>
      </c>
      <c r="I521" s="48">
        <v>5582</v>
      </c>
      <c r="J521" s="48">
        <v>4594</v>
      </c>
      <c r="K521" s="48">
        <v>3584</v>
      </c>
      <c r="L521" s="48">
        <v>2586</v>
      </c>
      <c r="M521" s="48">
        <v>1590</v>
      </c>
      <c r="N521" s="48">
        <v>596</v>
      </c>
      <c r="O521" s="48">
        <v>0</v>
      </c>
      <c r="P521" s="22">
        <f t="shared" si="246"/>
        <v>23210</v>
      </c>
    </row>
    <row r="522" spans="1:16" ht="14.25" customHeight="1" x14ac:dyDescent="0.25">
      <c r="A522" s="151"/>
      <c r="B522" s="134"/>
      <c r="C522" s="135"/>
      <c r="D522" s="133"/>
      <c r="E522" s="133"/>
      <c r="F522" s="58"/>
      <c r="G522" s="16" t="s">
        <v>14</v>
      </c>
      <c r="H522" s="33">
        <f t="shared" ref="H522:O522" si="269">SUM(H520:H521)</f>
        <v>21316</v>
      </c>
      <c r="I522" s="33">
        <f t="shared" si="269"/>
        <v>38858</v>
      </c>
      <c r="J522" s="33">
        <f t="shared" si="269"/>
        <v>37870</v>
      </c>
      <c r="K522" s="33">
        <f t="shared" si="269"/>
        <v>36860</v>
      </c>
      <c r="L522" s="33">
        <f t="shared" si="269"/>
        <v>35862</v>
      </c>
      <c r="M522" s="33">
        <f t="shared" si="269"/>
        <v>34866</v>
      </c>
      <c r="N522" s="33">
        <f t="shared" si="269"/>
        <v>25540</v>
      </c>
      <c r="O522" s="33">
        <f t="shared" si="269"/>
        <v>0</v>
      </c>
      <c r="P522" s="61">
        <f t="shared" ref="P522:P576" si="270">SUM(H522:O522)</f>
        <v>231172</v>
      </c>
    </row>
    <row r="523" spans="1:16" ht="14.25" customHeight="1" x14ac:dyDescent="0.25">
      <c r="A523" s="149">
        <f t="shared" si="266"/>
        <v>172</v>
      </c>
      <c r="B523" s="134" t="s">
        <v>8</v>
      </c>
      <c r="C523" s="145" t="s">
        <v>632</v>
      </c>
      <c r="D523" s="158" t="s">
        <v>624</v>
      </c>
      <c r="E523" s="158" t="s">
        <v>625</v>
      </c>
      <c r="F523" s="12" t="s">
        <v>633</v>
      </c>
      <c r="G523" s="44" t="s">
        <v>12</v>
      </c>
      <c r="H523" s="43">
        <v>0</v>
      </c>
      <c r="I523" s="43">
        <v>6668</v>
      </c>
      <c r="J523" s="43">
        <v>6668</v>
      </c>
      <c r="K523" s="43">
        <v>6668</v>
      </c>
      <c r="L523" s="43">
        <v>6668</v>
      </c>
      <c r="M523" s="43">
        <v>6668</v>
      </c>
      <c r="N523" s="43">
        <v>6668</v>
      </c>
      <c r="O523" s="43">
        <f>58336-33340-6668</f>
        <v>18328</v>
      </c>
      <c r="P523" s="28">
        <f t="shared" si="270"/>
        <v>58336</v>
      </c>
    </row>
    <row r="524" spans="1:16" ht="14.25" customHeight="1" x14ac:dyDescent="0.25">
      <c r="A524" s="150"/>
      <c r="B524" s="134"/>
      <c r="C524" s="135"/>
      <c r="D524" s="133"/>
      <c r="E524" s="133"/>
      <c r="F524" s="14" t="s">
        <v>634</v>
      </c>
      <c r="G524" s="14" t="s">
        <v>316</v>
      </c>
      <c r="H524" s="48">
        <v>1610</v>
      </c>
      <c r="I524" s="48">
        <v>1795</v>
      </c>
      <c r="J524" s="48">
        <v>1601</v>
      </c>
      <c r="K524" s="48">
        <v>1386</v>
      </c>
      <c r="L524" s="48">
        <v>1176</v>
      </c>
      <c r="M524" s="48">
        <v>966</v>
      </c>
      <c r="N524" s="48">
        <v>758</v>
      </c>
      <c r="O524" s="48">
        <f>1005</f>
        <v>1005</v>
      </c>
      <c r="P524" s="22">
        <f t="shared" si="270"/>
        <v>10297</v>
      </c>
    </row>
    <row r="525" spans="1:16" ht="14.25" customHeight="1" x14ac:dyDescent="0.25">
      <c r="A525" s="151"/>
      <c r="B525" s="134"/>
      <c r="C525" s="135"/>
      <c r="D525" s="133"/>
      <c r="E525" s="133"/>
      <c r="F525" s="58"/>
      <c r="G525" s="16" t="s">
        <v>14</v>
      </c>
      <c r="H525" s="33">
        <f t="shared" ref="H525:O525" si="271">SUM(H523:H524)</f>
        <v>1610</v>
      </c>
      <c r="I525" s="33">
        <f t="shared" si="271"/>
        <v>8463</v>
      </c>
      <c r="J525" s="33">
        <f t="shared" si="271"/>
        <v>8269</v>
      </c>
      <c r="K525" s="33">
        <f t="shared" si="271"/>
        <v>8054</v>
      </c>
      <c r="L525" s="33">
        <f t="shared" si="271"/>
        <v>7844</v>
      </c>
      <c r="M525" s="33">
        <f t="shared" si="271"/>
        <v>7634</v>
      </c>
      <c r="N525" s="33">
        <f t="shared" si="271"/>
        <v>7426</v>
      </c>
      <c r="O525" s="33">
        <f t="shared" si="271"/>
        <v>19333</v>
      </c>
      <c r="P525" s="61">
        <f t="shared" si="270"/>
        <v>68633</v>
      </c>
    </row>
    <row r="526" spans="1:16" ht="14.25" customHeight="1" x14ac:dyDescent="0.25">
      <c r="A526" s="149">
        <f t="shared" ref="A526" si="272">A523+1</f>
        <v>173</v>
      </c>
      <c r="B526" s="134" t="s">
        <v>8</v>
      </c>
      <c r="C526" s="145" t="s">
        <v>635</v>
      </c>
      <c r="D526" s="158" t="s">
        <v>624</v>
      </c>
      <c r="E526" s="158" t="s">
        <v>625</v>
      </c>
      <c r="F526" s="12" t="s">
        <v>636</v>
      </c>
      <c r="G526" s="44" t="s">
        <v>12</v>
      </c>
      <c r="H526" s="43">
        <v>0</v>
      </c>
      <c r="I526" s="43">
        <v>3072</v>
      </c>
      <c r="J526" s="43">
        <v>3072</v>
      </c>
      <c r="K526" s="43">
        <v>3072</v>
      </c>
      <c r="L526" s="43">
        <v>3072</v>
      </c>
      <c r="M526" s="43">
        <v>3072</v>
      </c>
      <c r="N526" s="43">
        <v>3072</v>
      </c>
      <c r="O526" s="43">
        <f>26876-15360-3072</f>
        <v>8444</v>
      </c>
      <c r="P526" s="28">
        <f t="shared" si="270"/>
        <v>26876</v>
      </c>
    </row>
    <row r="527" spans="1:16" ht="14.25" customHeight="1" x14ac:dyDescent="0.25">
      <c r="A527" s="150"/>
      <c r="B527" s="134"/>
      <c r="C527" s="135"/>
      <c r="D527" s="133"/>
      <c r="E527" s="133"/>
      <c r="F527" s="14" t="s">
        <v>637</v>
      </c>
      <c r="G527" s="14" t="s">
        <v>316</v>
      </c>
      <c r="H527" s="39">
        <v>687</v>
      </c>
      <c r="I527" s="39">
        <v>827</v>
      </c>
      <c r="J527" s="39">
        <v>737</v>
      </c>
      <c r="K527" s="39">
        <v>639</v>
      </c>
      <c r="L527" s="39">
        <v>542</v>
      </c>
      <c r="M527" s="39">
        <v>445</v>
      </c>
      <c r="N527" s="39">
        <v>349</v>
      </c>
      <c r="O527" s="39">
        <f>463</f>
        <v>463</v>
      </c>
      <c r="P527" s="22">
        <f t="shared" si="270"/>
        <v>4689</v>
      </c>
    </row>
    <row r="528" spans="1:16" ht="14.25" customHeight="1" x14ac:dyDescent="0.25">
      <c r="A528" s="151"/>
      <c r="B528" s="134"/>
      <c r="C528" s="135"/>
      <c r="D528" s="133"/>
      <c r="E528" s="133"/>
      <c r="F528" s="58"/>
      <c r="G528" s="16" t="s">
        <v>14</v>
      </c>
      <c r="H528" s="33">
        <f t="shared" ref="H528:O528" si="273">SUM(H526:H527)</f>
        <v>687</v>
      </c>
      <c r="I528" s="33">
        <f t="shared" si="273"/>
        <v>3899</v>
      </c>
      <c r="J528" s="33">
        <f t="shared" si="273"/>
        <v>3809</v>
      </c>
      <c r="K528" s="33">
        <f t="shared" si="273"/>
        <v>3711</v>
      </c>
      <c r="L528" s="33">
        <f t="shared" si="273"/>
        <v>3614</v>
      </c>
      <c r="M528" s="33">
        <f t="shared" si="273"/>
        <v>3517</v>
      </c>
      <c r="N528" s="33">
        <f t="shared" si="273"/>
        <v>3421</v>
      </c>
      <c r="O528" s="33">
        <f t="shared" si="273"/>
        <v>8907</v>
      </c>
      <c r="P528" s="61">
        <f t="shared" si="270"/>
        <v>31565</v>
      </c>
    </row>
    <row r="529" spans="1:17" ht="14.25" customHeight="1" x14ac:dyDescent="0.25">
      <c r="A529" s="177">
        <f t="shared" ref="A529:A544" si="274">A526+1</f>
        <v>174</v>
      </c>
      <c r="B529" s="134" t="s">
        <v>8</v>
      </c>
      <c r="C529" s="145" t="s">
        <v>737</v>
      </c>
      <c r="D529" s="158" t="s">
        <v>624</v>
      </c>
      <c r="E529" s="158" t="s">
        <v>638</v>
      </c>
      <c r="F529" s="12" t="s">
        <v>639</v>
      </c>
      <c r="G529" s="44" t="s">
        <v>12</v>
      </c>
      <c r="H529" s="43">
        <v>0</v>
      </c>
      <c r="I529" s="43">
        <v>76248</v>
      </c>
      <c r="J529" s="43">
        <v>76248</v>
      </c>
      <c r="K529" s="43">
        <v>76248</v>
      </c>
      <c r="L529" s="43">
        <v>76248</v>
      </c>
      <c r="M529" s="43">
        <v>76248</v>
      </c>
      <c r="N529" s="43">
        <v>76248</v>
      </c>
      <c r="O529" s="43">
        <f>1048373-381240-76248</f>
        <v>590885</v>
      </c>
      <c r="P529" s="57">
        <f t="shared" si="270"/>
        <v>1048373</v>
      </c>
    </row>
    <row r="530" spans="1:17" ht="14.25" customHeight="1" x14ac:dyDescent="0.25">
      <c r="A530" s="178"/>
      <c r="B530" s="134"/>
      <c r="C530" s="135"/>
      <c r="D530" s="133"/>
      <c r="E530" s="133"/>
      <c r="F530" s="14" t="s">
        <v>640</v>
      </c>
      <c r="G530" s="14" t="s">
        <v>316</v>
      </c>
      <c r="H530" s="48">
        <v>11170</v>
      </c>
      <c r="I530" s="48">
        <v>34411</v>
      </c>
      <c r="J530" s="48">
        <v>32008</v>
      </c>
      <c r="K530" s="48">
        <v>29467</v>
      </c>
      <c r="L530" s="48">
        <v>26925</v>
      </c>
      <c r="M530" s="48">
        <v>24841</v>
      </c>
      <c r="N530" s="48">
        <v>19299</v>
      </c>
      <c r="O530" s="48">
        <f>263430-178121</f>
        <v>85309</v>
      </c>
      <c r="P530" s="30">
        <f t="shared" si="270"/>
        <v>263430</v>
      </c>
    </row>
    <row r="531" spans="1:17" ht="14.25" customHeight="1" x14ac:dyDescent="0.25">
      <c r="A531" s="179"/>
      <c r="B531" s="134"/>
      <c r="C531" s="135"/>
      <c r="D531" s="133"/>
      <c r="E531" s="133"/>
      <c r="F531" s="41"/>
      <c r="G531" s="16" t="s">
        <v>14</v>
      </c>
      <c r="H531" s="33">
        <f t="shared" ref="H531:O531" si="275">SUM(H529:H530)</f>
        <v>11170</v>
      </c>
      <c r="I531" s="33">
        <f t="shared" si="275"/>
        <v>110659</v>
      </c>
      <c r="J531" s="33">
        <f t="shared" si="275"/>
        <v>108256</v>
      </c>
      <c r="K531" s="33">
        <f t="shared" si="275"/>
        <v>105715</v>
      </c>
      <c r="L531" s="33">
        <f t="shared" si="275"/>
        <v>103173</v>
      </c>
      <c r="M531" s="33">
        <f t="shared" si="275"/>
        <v>101089</v>
      </c>
      <c r="N531" s="33">
        <f t="shared" si="275"/>
        <v>95547</v>
      </c>
      <c r="O531" s="33">
        <f t="shared" si="275"/>
        <v>676194</v>
      </c>
      <c r="P531" s="62">
        <f t="shared" si="270"/>
        <v>1311803</v>
      </c>
    </row>
    <row r="532" spans="1:17" ht="14.25" customHeight="1" x14ac:dyDescent="0.25">
      <c r="A532" s="177">
        <f t="shared" si="274"/>
        <v>175</v>
      </c>
      <c r="B532" s="134" t="s">
        <v>8</v>
      </c>
      <c r="C532" s="145" t="s">
        <v>641</v>
      </c>
      <c r="D532" s="158" t="s">
        <v>624</v>
      </c>
      <c r="E532" s="158" t="s">
        <v>638</v>
      </c>
      <c r="F532" s="12" t="s">
        <v>642</v>
      </c>
      <c r="G532" s="44" t="s">
        <v>12</v>
      </c>
      <c r="H532" s="43">
        <v>0</v>
      </c>
      <c r="I532" s="43">
        <v>7484</v>
      </c>
      <c r="J532" s="43">
        <v>7484</v>
      </c>
      <c r="K532" s="43">
        <v>7484</v>
      </c>
      <c r="L532" s="43">
        <v>7484</v>
      </c>
      <c r="M532" s="43">
        <v>7484</v>
      </c>
      <c r="N532" s="43">
        <v>7484</v>
      </c>
      <c r="O532" s="43">
        <f>102859-44904</f>
        <v>57955</v>
      </c>
      <c r="P532" s="28">
        <f t="shared" si="270"/>
        <v>102859</v>
      </c>
    </row>
    <row r="533" spans="1:17" ht="14.25" customHeight="1" x14ac:dyDescent="0.25">
      <c r="A533" s="178"/>
      <c r="B533" s="134"/>
      <c r="C533" s="135"/>
      <c r="D533" s="133"/>
      <c r="E533" s="133"/>
      <c r="F533" s="14" t="s">
        <v>643</v>
      </c>
      <c r="G533" s="14" t="s">
        <v>316</v>
      </c>
      <c r="H533" s="48">
        <v>2115</v>
      </c>
      <c r="I533" s="48">
        <v>3376</v>
      </c>
      <c r="J533" s="48">
        <v>3141</v>
      </c>
      <c r="K533" s="48">
        <v>2891</v>
      </c>
      <c r="L533" s="48">
        <v>2641</v>
      </c>
      <c r="M533" s="48">
        <v>2392</v>
      </c>
      <c r="N533" s="48">
        <v>2142</v>
      </c>
      <c r="O533" s="48">
        <f>26855-18698</f>
        <v>8157</v>
      </c>
      <c r="P533" s="22">
        <f t="shared" si="270"/>
        <v>26855</v>
      </c>
    </row>
    <row r="534" spans="1:17" ht="14.25" customHeight="1" x14ac:dyDescent="0.25">
      <c r="A534" s="179"/>
      <c r="B534" s="134"/>
      <c r="C534" s="135"/>
      <c r="D534" s="133"/>
      <c r="E534" s="133"/>
      <c r="F534" s="41"/>
      <c r="G534" s="16" t="s">
        <v>14</v>
      </c>
      <c r="H534" s="33">
        <f t="shared" ref="H534:O534" si="276">SUM(H532:H533)</f>
        <v>2115</v>
      </c>
      <c r="I534" s="33">
        <f t="shared" si="276"/>
        <v>10860</v>
      </c>
      <c r="J534" s="33">
        <f t="shared" si="276"/>
        <v>10625</v>
      </c>
      <c r="K534" s="33">
        <f t="shared" si="276"/>
        <v>10375</v>
      </c>
      <c r="L534" s="33">
        <f t="shared" si="276"/>
        <v>10125</v>
      </c>
      <c r="M534" s="33">
        <f t="shared" si="276"/>
        <v>9876</v>
      </c>
      <c r="N534" s="33">
        <f t="shared" si="276"/>
        <v>9626</v>
      </c>
      <c r="O534" s="33">
        <f t="shared" si="276"/>
        <v>66112</v>
      </c>
      <c r="P534" s="61">
        <f t="shared" si="270"/>
        <v>129714</v>
      </c>
    </row>
    <row r="535" spans="1:17" ht="14.25" customHeight="1" x14ac:dyDescent="0.25">
      <c r="A535" s="177">
        <f t="shared" si="274"/>
        <v>176</v>
      </c>
      <c r="B535" s="134" t="s">
        <v>8</v>
      </c>
      <c r="C535" s="145" t="s">
        <v>644</v>
      </c>
      <c r="D535" s="158" t="s">
        <v>645</v>
      </c>
      <c r="E535" s="158" t="s">
        <v>646</v>
      </c>
      <c r="F535" s="12" t="s">
        <v>647</v>
      </c>
      <c r="G535" s="44" t="s">
        <v>12</v>
      </c>
      <c r="H535" s="43">
        <v>0</v>
      </c>
      <c r="I535" s="43">
        <v>46592</v>
      </c>
      <c r="J535" s="43">
        <v>46592</v>
      </c>
      <c r="K535" s="43">
        <v>46592</v>
      </c>
      <c r="L535" s="43">
        <v>46592</v>
      </c>
      <c r="M535" s="43">
        <v>46592</v>
      </c>
      <c r="N535" s="43">
        <v>46592</v>
      </c>
      <c r="O535" s="43">
        <f>873597-232960-46592</f>
        <v>594045</v>
      </c>
      <c r="P535" s="57">
        <f t="shared" si="270"/>
        <v>873597</v>
      </c>
    </row>
    <row r="536" spans="1:17" ht="14.25" customHeight="1" x14ac:dyDescent="0.25">
      <c r="A536" s="178"/>
      <c r="B536" s="134"/>
      <c r="C536" s="135"/>
      <c r="D536" s="133"/>
      <c r="E536" s="133"/>
      <c r="F536" s="14" t="s">
        <v>648</v>
      </c>
      <c r="G536" s="14" t="s">
        <v>316</v>
      </c>
      <c r="H536" s="48">
        <v>14855</v>
      </c>
      <c r="I536" s="48">
        <v>30116</v>
      </c>
      <c r="J536" s="48">
        <v>28581</v>
      </c>
      <c r="K536" s="48">
        <v>26956</v>
      </c>
      <c r="L536" s="48">
        <v>25332</v>
      </c>
      <c r="M536" s="48">
        <v>23707</v>
      </c>
      <c r="N536" s="48">
        <v>22082</v>
      </c>
      <c r="O536" s="48">
        <f>310871-149547-22082</f>
        <v>139242</v>
      </c>
      <c r="P536" s="30">
        <f t="shared" si="270"/>
        <v>310871</v>
      </c>
      <c r="Q536" s="63"/>
    </row>
    <row r="537" spans="1:17" ht="14.25" customHeight="1" x14ac:dyDescent="0.25">
      <c r="A537" s="179"/>
      <c r="B537" s="134"/>
      <c r="C537" s="135"/>
      <c r="D537" s="133"/>
      <c r="E537" s="133"/>
      <c r="F537" s="41"/>
      <c r="G537" s="16" t="s">
        <v>14</v>
      </c>
      <c r="H537" s="60">
        <f t="shared" ref="H537:O537" si="277">SUM(H535:H536)</f>
        <v>14855</v>
      </c>
      <c r="I537" s="33">
        <f t="shared" si="277"/>
        <v>76708</v>
      </c>
      <c r="J537" s="33">
        <f t="shared" si="277"/>
        <v>75173</v>
      </c>
      <c r="K537" s="33">
        <f t="shared" si="277"/>
        <v>73548</v>
      </c>
      <c r="L537" s="33">
        <f t="shared" si="277"/>
        <v>71924</v>
      </c>
      <c r="M537" s="33">
        <f t="shared" si="277"/>
        <v>70299</v>
      </c>
      <c r="N537" s="33">
        <f t="shared" si="277"/>
        <v>68674</v>
      </c>
      <c r="O537" s="33">
        <f t="shared" si="277"/>
        <v>733287</v>
      </c>
      <c r="P537" s="47">
        <f t="shared" si="270"/>
        <v>1184468</v>
      </c>
    </row>
    <row r="538" spans="1:17" ht="14.25" customHeight="1" x14ac:dyDescent="0.25">
      <c r="A538" s="177">
        <f t="shared" si="274"/>
        <v>177</v>
      </c>
      <c r="B538" s="134" t="s">
        <v>8</v>
      </c>
      <c r="C538" s="145" t="s">
        <v>649</v>
      </c>
      <c r="D538" s="158" t="s">
        <v>645</v>
      </c>
      <c r="E538" s="158" t="s">
        <v>646</v>
      </c>
      <c r="F538" s="12" t="s">
        <v>650</v>
      </c>
      <c r="G538" s="44" t="s">
        <v>12</v>
      </c>
      <c r="H538" s="43">
        <v>0</v>
      </c>
      <c r="I538" s="43">
        <v>29684</v>
      </c>
      <c r="J538" s="43">
        <v>29684</v>
      </c>
      <c r="K538" s="43">
        <v>29684</v>
      </c>
      <c r="L538" s="43">
        <v>29684</v>
      </c>
      <c r="M538" s="43">
        <v>29684</v>
      </c>
      <c r="N538" s="43">
        <v>29684</v>
      </c>
      <c r="O538" s="43">
        <f>556570.1-178104</f>
        <v>378466.1</v>
      </c>
      <c r="P538" s="57">
        <f t="shared" si="270"/>
        <v>556570.1</v>
      </c>
    </row>
    <row r="539" spans="1:17" ht="14.25" customHeight="1" x14ac:dyDescent="0.25">
      <c r="A539" s="178"/>
      <c r="B539" s="134"/>
      <c r="C539" s="135"/>
      <c r="D539" s="133"/>
      <c r="E539" s="133"/>
      <c r="F539" s="14" t="s">
        <v>651</v>
      </c>
      <c r="G539" s="14" t="s">
        <v>316</v>
      </c>
      <c r="H539" s="48">
        <v>10273</v>
      </c>
      <c r="I539" s="48">
        <v>19187</v>
      </c>
      <c r="J539" s="48">
        <v>18209</v>
      </c>
      <c r="K539" s="48">
        <v>17174</v>
      </c>
      <c r="L539" s="48">
        <v>16139</v>
      </c>
      <c r="M539" s="48">
        <v>15104</v>
      </c>
      <c r="N539" s="48">
        <v>14068</v>
      </c>
      <c r="O539" s="48">
        <f>198864-110154</f>
        <v>88710</v>
      </c>
      <c r="P539" s="30">
        <f t="shared" si="270"/>
        <v>198864</v>
      </c>
    </row>
    <row r="540" spans="1:17" ht="14.25" customHeight="1" x14ac:dyDescent="0.25">
      <c r="A540" s="179"/>
      <c r="B540" s="134"/>
      <c r="C540" s="135"/>
      <c r="D540" s="133"/>
      <c r="E540" s="133"/>
      <c r="F540" s="41"/>
      <c r="G540" s="16" t="s">
        <v>14</v>
      </c>
      <c r="H540" s="33">
        <f t="shared" ref="H540:O540" si="278">SUM(H538:H539)</f>
        <v>10273</v>
      </c>
      <c r="I540" s="33">
        <f t="shared" si="278"/>
        <v>48871</v>
      </c>
      <c r="J540" s="33">
        <f t="shared" si="278"/>
        <v>47893</v>
      </c>
      <c r="K540" s="33">
        <f t="shared" si="278"/>
        <v>46858</v>
      </c>
      <c r="L540" s="33">
        <f t="shared" si="278"/>
        <v>45823</v>
      </c>
      <c r="M540" s="33">
        <f t="shared" si="278"/>
        <v>44788</v>
      </c>
      <c r="N540" s="33">
        <f t="shared" si="278"/>
        <v>43752</v>
      </c>
      <c r="O540" s="33">
        <f t="shared" si="278"/>
        <v>467176.1</v>
      </c>
      <c r="P540" s="47">
        <f t="shared" si="270"/>
        <v>755434.1</v>
      </c>
    </row>
    <row r="541" spans="1:17" ht="14.25" customHeight="1" x14ac:dyDescent="0.25">
      <c r="A541" s="149">
        <f t="shared" si="274"/>
        <v>178</v>
      </c>
      <c r="B541" s="134" t="s">
        <v>8</v>
      </c>
      <c r="C541" s="145" t="s">
        <v>652</v>
      </c>
      <c r="D541" s="158" t="s">
        <v>653</v>
      </c>
      <c r="E541" s="158" t="s">
        <v>654</v>
      </c>
      <c r="F541" s="12" t="s">
        <v>655</v>
      </c>
      <c r="G541" s="44" t="s">
        <v>12</v>
      </c>
      <c r="H541" s="43">
        <v>0</v>
      </c>
      <c r="I541" s="43">
        <v>47259</v>
      </c>
      <c r="J541" s="43">
        <v>63012</v>
      </c>
      <c r="K541" s="43">
        <v>63012</v>
      </c>
      <c r="L541" s="43">
        <v>63012</v>
      </c>
      <c r="M541" s="43">
        <v>63012</v>
      </c>
      <c r="N541" s="43">
        <v>63012</v>
      </c>
      <c r="O541" s="43">
        <f>1496493-299307-63012</f>
        <v>1134174</v>
      </c>
      <c r="P541" s="13">
        <f t="shared" si="270"/>
        <v>1496493</v>
      </c>
    </row>
    <row r="542" spans="1:17" ht="14.25" customHeight="1" x14ac:dyDescent="0.25">
      <c r="A542" s="150"/>
      <c r="B542" s="134"/>
      <c r="C542" s="135"/>
      <c r="D542" s="133"/>
      <c r="E542" s="133"/>
      <c r="F542" s="14" t="s">
        <v>656</v>
      </c>
      <c r="G542" s="14" t="s">
        <v>316</v>
      </c>
      <c r="H542" s="48">
        <v>28838</v>
      </c>
      <c r="I542" s="48">
        <v>54684</v>
      </c>
      <c r="J542" s="48">
        <v>52770</v>
      </c>
      <c r="K542" s="48">
        <v>50460</v>
      </c>
      <c r="L542" s="48">
        <v>48149</v>
      </c>
      <c r="M542" s="48">
        <v>45839</v>
      </c>
      <c r="N542" s="48">
        <v>43529</v>
      </c>
      <c r="O542" s="48">
        <f>712854-280740-43529</f>
        <v>388585</v>
      </c>
      <c r="P542" s="15">
        <f t="shared" si="270"/>
        <v>712854</v>
      </c>
      <c r="Q542" s="63"/>
    </row>
    <row r="543" spans="1:17" ht="14.25" customHeight="1" x14ac:dyDescent="0.25">
      <c r="A543" s="151"/>
      <c r="B543" s="134"/>
      <c r="C543" s="135"/>
      <c r="D543" s="133"/>
      <c r="E543" s="133"/>
      <c r="F543" s="41"/>
      <c r="G543" s="16" t="s">
        <v>14</v>
      </c>
      <c r="H543" s="33">
        <f t="shared" ref="H543:O543" si="279">SUM(H541:H542)</f>
        <v>28838</v>
      </c>
      <c r="I543" s="33">
        <f t="shared" si="279"/>
        <v>101943</v>
      </c>
      <c r="J543" s="33">
        <f t="shared" si="279"/>
        <v>115782</v>
      </c>
      <c r="K543" s="33">
        <f t="shared" si="279"/>
        <v>113472</v>
      </c>
      <c r="L543" s="33">
        <f t="shared" si="279"/>
        <v>111161</v>
      </c>
      <c r="M543" s="33">
        <f t="shared" si="279"/>
        <v>108851</v>
      </c>
      <c r="N543" s="33">
        <f t="shared" si="279"/>
        <v>106541</v>
      </c>
      <c r="O543" s="33">
        <f t="shared" si="279"/>
        <v>1522759</v>
      </c>
      <c r="P543" s="18">
        <f t="shared" si="270"/>
        <v>2209347</v>
      </c>
    </row>
    <row r="544" spans="1:17" ht="14.25" customHeight="1" x14ac:dyDescent="0.25">
      <c r="A544" s="149">
        <f t="shared" si="274"/>
        <v>179</v>
      </c>
      <c r="B544" s="134" t="s">
        <v>8</v>
      </c>
      <c r="C544" s="145" t="s">
        <v>657</v>
      </c>
      <c r="D544" s="158" t="s">
        <v>653</v>
      </c>
      <c r="E544" s="158" t="s">
        <v>654</v>
      </c>
      <c r="F544" s="12" t="s">
        <v>658</v>
      </c>
      <c r="G544" s="44" t="s">
        <v>12</v>
      </c>
      <c r="H544" s="43">
        <v>0</v>
      </c>
      <c r="I544" s="43">
        <v>31172</v>
      </c>
      <c r="J544" s="43">
        <v>31172</v>
      </c>
      <c r="K544" s="43">
        <v>31172</v>
      </c>
      <c r="L544" s="43">
        <v>31172</v>
      </c>
      <c r="M544" s="43">
        <v>31172</v>
      </c>
      <c r="N544" s="43">
        <v>31172</v>
      </c>
      <c r="O544" s="43">
        <f>732567-155860-31172</f>
        <v>545535</v>
      </c>
      <c r="P544" s="28">
        <f t="shared" si="270"/>
        <v>732567</v>
      </c>
    </row>
    <row r="545" spans="1:17" ht="14.25" customHeight="1" x14ac:dyDescent="0.25">
      <c r="A545" s="150"/>
      <c r="B545" s="134"/>
      <c r="C545" s="135"/>
      <c r="D545" s="133"/>
      <c r="E545" s="133"/>
      <c r="F545" s="14" t="s">
        <v>659</v>
      </c>
      <c r="G545" s="14" t="s">
        <v>316</v>
      </c>
      <c r="H545" s="48">
        <v>14737</v>
      </c>
      <c r="I545" s="48">
        <v>26769</v>
      </c>
      <c r="J545" s="48">
        <v>25832</v>
      </c>
      <c r="K545" s="48">
        <v>24701</v>
      </c>
      <c r="L545" s="48">
        <v>23570</v>
      </c>
      <c r="M545" s="48">
        <v>22439</v>
      </c>
      <c r="N545" s="48">
        <v>21308</v>
      </c>
      <c r="O545" s="48">
        <f>349555-138048-21308</f>
        <v>190199</v>
      </c>
      <c r="P545" s="22">
        <f t="shared" si="270"/>
        <v>349555</v>
      </c>
      <c r="Q545" s="63"/>
    </row>
    <row r="546" spans="1:17" ht="14.25" customHeight="1" x14ac:dyDescent="0.25">
      <c r="A546" s="151"/>
      <c r="B546" s="134"/>
      <c r="C546" s="135"/>
      <c r="D546" s="133"/>
      <c r="E546" s="133"/>
      <c r="F546" s="41"/>
      <c r="G546" s="16" t="s">
        <v>14</v>
      </c>
      <c r="H546" s="33">
        <f t="shared" ref="H546:O546" si="280">SUM(H544:H545)</f>
        <v>14737</v>
      </c>
      <c r="I546" s="33">
        <f t="shared" si="280"/>
        <v>57941</v>
      </c>
      <c r="J546" s="33">
        <f t="shared" si="280"/>
        <v>57004</v>
      </c>
      <c r="K546" s="33">
        <f t="shared" si="280"/>
        <v>55873</v>
      </c>
      <c r="L546" s="33">
        <f t="shared" si="280"/>
        <v>54742</v>
      </c>
      <c r="M546" s="33">
        <f t="shared" si="280"/>
        <v>53611</v>
      </c>
      <c r="N546" s="33">
        <f t="shared" si="280"/>
        <v>52480</v>
      </c>
      <c r="O546" s="33">
        <f t="shared" si="280"/>
        <v>735734</v>
      </c>
      <c r="P546" s="18">
        <f t="shared" si="270"/>
        <v>1082122</v>
      </c>
    </row>
    <row r="547" spans="1:17" ht="14.25" customHeight="1" x14ac:dyDescent="0.25">
      <c r="A547" s="149">
        <f t="shared" ref="A547:A565" si="281">A544+1</f>
        <v>180</v>
      </c>
      <c r="B547" s="134" t="s">
        <v>8</v>
      </c>
      <c r="C547" s="167" t="s">
        <v>660</v>
      </c>
      <c r="D547" s="180" t="s">
        <v>705</v>
      </c>
      <c r="E547" s="158" t="s">
        <v>661</v>
      </c>
      <c r="F547" s="46" t="s">
        <v>662</v>
      </c>
      <c r="G547" s="44" t="s">
        <v>12</v>
      </c>
      <c r="H547" s="64">
        <v>0</v>
      </c>
      <c r="I547" s="64">
        <v>15320</v>
      </c>
      <c r="J547" s="64">
        <v>30640</v>
      </c>
      <c r="K547" s="64">
        <v>30640</v>
      </c>
      <c r="L547" s="64">
        <v>30640</v>
      </c>
      <c r="M547" s="64">
        <v>30640</v>
      </c>
      <c r="N547" s="64">
        <v>30640</v>
      </c>
      <c r="O547" s="64">
        <f>566861-168520</f>
        <v>398341</v>
      </c>
      <c r="P547" s="65">
        <f t="shared" si="270"/>
        <v>566861</v>
      </c>
    </row>
    <row r="548" spans="1:17" ht="14.25" customHeight="1" x14ac:dyDescent="0.25">
      <c r="A548" s="150"/>
      <c r="B548" s="134"/>
      <c r="C548" s="167"/>
      <c r="D548" s="180"/>
      <c r="E548" s="158"/>
      <c r="F548" s="66" t="s">
        <v>663</v>
      </c>
      <c r="G548" s="46" t="s">
        <v>316</v>
      </c>
      <c r="H548" s="67">
        <v>5735</v>
      </c>
      <c r="I548" s="67">
        <v>20055</v>
      </c>
      <c r="J548" s="67">
        <v>19352</v>
      </c>
      <c r="K548" s="67">
        <v>18267</v>
      </c>
      <c r="L548" s="67">
        <v>17182</v>
      </c>
      <c r="M548" s="67">
        <v>16098</v>
      </c>
      <c r="N548" s="67">
        <v>15013</v>
      </c>
      <c r="O548" s="67">
        <f>208251-111702</f>
        <v>96549</v>
      </c>
      <c r="P548" s="32">
        <f t="shared" si="270"/>
        <v>208251</v>
      </c>
    </row>
    <row r="549" spans="1:17" ht="14.25" customHeight="1" x14ac:dyDescent="0.25">
      <c r="A549" s="151"/>
      <c r="B549" s="134"/>
      <c r="C549" s="167"/>
      <c r="D549" s="180"/>
      <c r="E549" s="158"/>
      <c r="G549" s="45" t="s">
        <v>14</v>
      </c>
      <c r="H549" s="68">
        <f t="shared" ref="H549:O549" si="282">SUM(H547:H548)</f>
        <v>5735</v>
      </c>
      <c r="I549" s="68">
        <f t="shared" si="282"/>
        <v>35375</v>
      </c>
      <c r="J549" s="68">
        <f t="shared" si="282"/>
        <v>49992</v>
      </c>
      <c r="K549" s="68">
        <f t="shared" si="282"/>
        <v>48907</v>
      </c>
      <c r="L549" s="68">
        <f t="shared" si="282"/>
        <v>47822</v>
      </c>
      <c r="M549" s="68">
        <f t="shared" si="282"/>
        <v>46738</v>
      </c>
      <c r="N549" s="68">
        <f t="shared" si="282"/>
        <v>45653</v>
      </c>
      <c r="O549" s="68">
        <f t="shared" si="282"/>
        <v>494890</v>
      </c>
      <c r="P549" s="69">
        <f t="shared" si="270"/>
        <v>775112</v>
      </c>
    </row>
    <row r="550" spans="1:17" ht="14.25" customHeight="1" x14ac:dyDescent="0.25">
      <c r="A550" s="149">
        <f t="shared" si="281"/>
        <v>181</v>
      </c>
      <c r="B550" s="134" t="s">
        <v>8</v>
      </c>
      <c r="C550" s="167" t="s">
        <v>738</v>
      </c>
      <c r="D550" s="158" t="s">
        <v>705</v>
      </c>
      <c r="E550" s="158" t="s">
        <v>664</v>
      </c>
      <c r="F550" s="46" t="s">
        <v>665</v>
      </c>
      <c r="G550" s="44" t="s">
        <v>12</v>
      </c>
      <c r="H550" s="64">
        <v>0</v>
      </c>
      <c r="I550" s="64">
        <v>0</v>
      </c>
      <c r="J550" s="64">
        <v>13900</v>
      </c>
      <c r="K550" s="64">
        <v>13900</v>
      </c>
      <c r="L550" s="64">
        <v>13900</v>
      </c>
      <c r="M550" s="64">
        <v>13900</v>
      </c>
      <c r="N550" s="64">
        <v>13900</v>
      </c>
      <c r="O550" s="64">
        <f>118138-69500</f>
        <v>48638</v>
      </c>
      <c r="P550" s="13">
        <f t="shared" si="270"/>
        <v>118138</v>
      </c>
      <c r="Q550" s="70"/>
    </row>
    <row r="551" spans="1:17" ht="14.25" customHeight="1" x14ac:dyDescent="0.25">
      <c r="A551" s="150"/>
      <c r="B551" s="134"/>
      <c r="C551" s="167"/>
      <c r="D551" s="133"/>
      <c r="E551" s="133"/>
      <c r="F551" s="41" t="s">
        <v>666</v>
      </c>
      <c r="G551" s="14" t="s">
        <v>316</v>
      </c>
      <c r="H551" s="67">
        <v>996</v>
      </c>
      <c r="I551" s="67">
        <f>3620</f>
        <v>3620</v>
      </c>
      <c r="J551" s="67">
        <f>3529</f>
        <v>3529</v>
      </c>
      <c r="K551" s="67">
        <f>3127</f>
        <v>3127</v>
      </c>
      <c r="L551" s="67">
        <f>2701</f>
        <v>2701</v>
      </c>
      <c r="M551" s="67">
        <f>2275</f>
        <v>2275</v>
      </c>
      <c r="N551" s="67">
        <f>1849</f>
        <v>1849</v>
      </c>
      <c r="O551" s="67">
        <f>21240-18097</f>
        <v>3143</v>
      </c>
      <c r="P551" s="15">
        <f t="shared" si="270"/>
        <v>21240</v>
      </c>
      <c r="Q551" s="71"/>
    </row>
    <row r="552" spans="1:17" ht="14.25" customHeight="1" x14ac:dyDescent="0.25">
      <c r="A552" s="151"/>
      <c r="B552" s="134"/>
      <c r="C552" s="167"/>
      <c r="D552" s="133"/>
      <c r="E552" s="133"/>
      <c r="G552" s="16" t="s">
        <v>14</v>
      </c>
      <c r="H552" s="68">
        <f t="shared" ref="H552:O552" si="283">SUM(H550:H551)</f>
        <v>996</v>
      </c>
      <c r="I552" s="68">
        <f t="shared" si="283"/>
        <v>3620</v>
      </c>
      <c r="J552" s="68">
        <f t="shared" si="283"/>
        <v>17429</v>
      </c>
      <c r="K552" s="68">
        <f t="shared" si="283"/>
        <v>17027</v>
      </c>
      <c r="L552" s="68">
        <f t="shared" si="283"/>
        <v>16601</v>
      </c>
      <c r="M552" s="68">
        <f t="shared" si="283"/>
        <v>16175</v>
      </c>
      <c r="N552" s="68">
        <f t="shared" si="283"/>
        <v>15749</v>
      </c>
      <c r="O552" s="68">
        <f t="shared" si="283"/>
        <v>51781</v>
      </c>
      <c r="P552" s="18">
        <f t="shared" si="270"/>
        <v>139378</v>
      </c>
    </row>
    <row r="553" spans="1:17" ht="14.25" customHeight="1" x14ac:dyDescent="0.25">
      <c r="A553" s="149">
        <f t="shared" si="281"/>
        <v>182</v>
      </c>
      <c r="B553" s="134" t="s">
        <v>8</v>
      </c>
      <c r="C553" s="145" t="s">
        <v>739</v>
      </c>
      <c r="D553" s="158" t="s">
        <v>667</v>
      </c>
      <c r="E553" s="158" t="s">
        <v>668</v>
      </c>
      <c r="F553" s="12"/>
      <c r="G553" s="44" t="s">
        <v>12</v>
      </c>
      <c r="H553" s="64">
        <v>0</v>
      </c>
      <c r="I553" s="64">
        <v>0</v>
      </c>
      <c r="J553" s="64">
        <v>35300</v>
      </c>
      <c r="K553" s="64">
        <v>35300</v>
      </c>
      <c r="L553" s="64">
        <v>35300</v>
      </c>
      <c r="M553" s="64">
        <v>35300</v>
      </c>
      <c r="N553" s="64">
        <v>35300</v>
      </c>
      <c r="O553" s="64">
        <f>333092-176500</f>
        <v>156592</v>
      </c>
      <c r="P553" s="13">
        <f t="shared" si="270"/>
        <v>333092</v>
      </c>
    </row>
    <row r="554" spans="1:17" ht="14.25" customHeight="1" x14ac:dyDescent="0.25">
      <c r="A554" s="150"/>
      <c r="B554" s="134"/>
      <c r="C554" s="135"/>
      <c r="D554" s="133"/>
      <c r="E554" s="133"/>
      <c r="F554" s="46" t="s">
        <v>669</v>
      </c>
      <c r="G554" s="14" t="s">
        <v>316</v>
      </c>
      <c r="H554" s="67">
        <v>0</v>
      </c>
      <c r="I554" s="67">
        <v>4843</v>
      </c>
      <c r="J554" s="67">
        <v>8964</v>
      </c>
      <c r="K554" s="67">
        <v>7942</v>
      </c>
      <c r="L554" s="67">
        <v>6861</v>
      </c>
      <c r="M554" s="67">
        <v>5779</v>
      </c>
      <c r="N554" s="67">
        <v>4697</v>
      </c>
      <c r="O554" s="67">
        <f>47069-39086</f>
        <v>7983</v>
      </c>
      <c r="P554" s="15">
        <f t="shared" si="270"/>
        <v>47069</v>
      </c>
    </row>
    <row r="555" spans="1:17" ht="14.25" customHeight="1" x14ac:dyDescent="0.25">
      <c r="A555" s="151"/>
      <c r="B555" s="134"/>
      <c r="C555" s="135"/>
      <c r="D555" s="133"/>
      <c r="E555" s="133"/>
      <c r="F555" s="41"/>
      <c r="G555" s="16" t="s">
        <v>14</v>
      </c>
      <c r="H555" s="68">
        <f t="shared" ref="H555:O555" si="284">SUM(H553:H554)</f>
        <v>0</v>
      </c>
      <c r="I555" s="68">
        <f t="shared" si="284"/>
        <v>4843</v>
      </c>
      <c r="J555" s="68">
        <f t="shared" si="284"/>
        <v>44264</v>
      </c>
      <c r="K555" s="68">
        <f t="shared" si="284"/>
        <v>43242</v>
      </c>
      <c r="L555" s="68">
        <f t="shared" si="284"/>
        <v>42161</v>
      </c>
      <c r="M555" s="68">
        <f t="shared" si="284"/>
        <v>41079</v>
      </c>
      <c r="N555" s="68">
        <f t="shared" si="284"/>
        <v>39997</v>
      </c>
      <c r="O555" s="68">
        <f t="shared" si="284"/>
        <v>164575</v>
      </c>
      <c r="P555" s="18">
        <f t="shared" si="270"/>
        <v>380161</v>
      </c>
    </row>
    <row r="556" spans="1:17" ht="14.25" customHeight="1" x14ac:dyDescent="0.25">
      <c r="A556" s="149">
        <f t="shared" si="281"/>
        <v>183</v>
      </c>
      <c r="B556" s="134" t="s">
        <v>8</v>
      </c>
      <c r="C556" s="145" t="s">
        <v>670</v>
      </c>
      <c r="D556" s="158" t="s">
        <v>667</v>
      </c>
      <c r="E556" s="158" t="s">
        <v>668</v>
      </c>
      <c r="F556" s="12"/>
      <c r="G556" s="44" t="s">
        <v>12</v>
      </c>
      <c r="H556" s="64">
        <v>0</v>
      </c>
      <c r="I556" s="64">
        <v>0</v>
      </c>
      <c r="J556" s="64">
        <v>40112</v>
      </c>
      <c r="K556" s="64">
        <v>40112</v>
      </c>
      <c r="L556" s="64">
        <v>40112</v>
      </c>
      <c r="M556" s="64">
        <v>40112</v>
      </c>
      <c r="N556" s="64">
        <v>40112</v>
      </c>
      <c r="O556" s="64">
        <f>340944-200560</f>
        <v>140384</v>
      </c>
      <c r="P556" s="13">
        <f t="shared" si="270"/>
        <v>340944</v>
      </c>
    </row>
    <row r="557" spans="1:17" ht="14.25" customHeight="1" x14ac:dyDescent="0.25">
      <c r="A557" s="150"/>
      <c r="B557" s="134"/>
      <c r="C557" s="135"/>
      <c r="D557" s="133"/>
      <c r="E557" s="133"/>
      <c r="F557" s="46" t="s">
        <v>669</v>
      </c>
      <c r="G557" s="14" t="s">
        <v>316</v>
      </c>
      <c r="H557" s="67">
        <v>121</v>
      </c>
      <c r="I557" s="67">
        <v>7820</v>
      </c>
      <c r="J557" s="67">
        <v>10975</v>
      </c>
      <c r="K557" s="67">
        <v>9723</v>
      </c>
      <c r="L557" s="67">
        <v>8399</v>
      </c>
      <c r="M557" s="67">
        <v>7075</v>
      </c>
      <c r="N557" s="67">
        <v>5751</v>
      </c>
      <c r="O557" s="67">
        <f>59637-49864</f>
        <v>9773</v>
      </c>
      <c r="P557" s="15">
        <f t="shared" si="270"/>
        <v>59637</v>
      </c>
    </row>
    <row r="558" spans="1:17" ht="14.25" customHeight="1" x14ac:dyDescent="0.25">
      <c r="A558" s="151"/>
      <c r="B558" s="134"/>
      <c r="C558" s="135"/>
      <c r="D558" s="133"/>
      <c r="E558" s="133"/>
      <c r="F558" s="41"/>
      <c r="G558" s="16" t="s">
        <v>14</v>
      </c>
      <c r="H558" s="68">
        <f t="shared" ref="H558:O558" si="285">SUM(H556:H557)</f>
        <v>121</v>
      </c>
      <c r="I558" s="68">
        <f t="shared" si="285"/>
        <v>7820</v>
      </c>
      <c r="J558" s="68">
        <f t="shared" si="285"/>
        <v>51087</v>
      </c>
      <c r="K558" s="68">
        <f t="shared" si="285"/>
        <v>49835</v>
      </c>
      <c r="L558" s="68">
        <f t="shared" si="285"/>
        <v>48511</v>
      </c>
      <c r="M558" s="68">
        <f t="shared" si="285"/>
        <v>47187</v>
      </c>
      <c r="N558" s="68">
        <f t="shared" si="285"/>
        <v>45863</v>
      </c>
      <c r="O558" s="68">
        <f t="shared" si="285"/>
        <v>150157</v>
      </c>
      <c r="P558" s="18">
        <f t="shared" si="270"/>
        <v>400581</v>
      </c>
    </row>
    <row r="559" spans="1:17" ht="14.25" customHeight="1" x14ac:dyDescent="0.25">
      <c r="A559" s="149">
        <f t="shared" si="281"/>
        <v>184</v>
      </c>
      <c r="B559" s="134" t="s">
        <v>8</v>
      </c>
      <c r="C559" s="145" t="s">
        <v>740</v>
      </c>
      <c r="D559" s="158" t="s">
        <v>667</v>
      </c>
      <c r="E559" s="158" t="s">
        <v>668</v>
      </c>
      <c r="F559" s="12"/>
      <c r="G559" s="44" t="s">
        <v>12</v>
      </c>
      <c r="H559" s="64">
        <v>0</v>
      </c>
      <c r="I559" s="64">
        <v>0</v>
      </c>
      <c r="J559" s="64">
        <v>42000</v>
      </c>
      <c r="K559" s="64">
        <v>42000</v>
      </c>
      <c r="L559" s="64">
        <v>42000</v>
      </c>
      <c r="M559" s="64">
        <v>42000</v>
      </c>
      <c r="N559" s="64">
        <v>42000</v>
      </c>
      <c r="O559" s="64">
        <f>357000-210000</f>
        <v>147000</v>
      </c>
      <c r="P559" s="13">
        <f t="shared" si="270"/>
        <v>357000</v>
      </c>
    </row>
    <row r="560" spans="1:17" ht="14.25" customHeight="1" x14ac:dyDescent="0.25">
      <c r="A560" s="150"/>
      <c r="B560" s="134"/>
      <c r="C560" s="135"/>
      <c r="D560" s="133"/>
      <c r="E560" s="133"/>
      <c r="F560" s="46" t="s">
        <v>669</v>
      </c>
      <c r="G560" s="14" t="s">
        <v>316</v>
      </c>
      <c r="H560" s="67">
        <v>478</v>
      </c>
      <c r="I560" s="67">
        <v>10954</v>
      </c>
      <c r="J560" s="67">
        <v>11492</v>
      </c>
      <c r="K560" s="67">
        <v>10181</v>
      </c>
      <c r="L560" s="67">
        <v>8795</v>
      </c>
      <c r="M560" s="67">
        <v>7408</v>
      </c>
      <c r="N560" s="67">
        <v>6021</v>
      </c>
      <c r="O560" s="67">
        <f>65564-55329</f>
        <v>10235</v>
      </c>
      <c r="P560" s="15">
        <f t="shared" si="270"/>
        <v>65564</v>
      </c>
    </row>
    <row r="561" spans="1:16" ht="14.25" customHeight="1" x14ac:dyDescent="0.25">
      <c r="A561" s="151"/>
      <c r="B561" s="134"/>
      <c r="C561" s="135"/>
      <c r="D561" s="133"/>
      <c r="E561" s="133"/>
      <c r="F561" s="41"/>
      <c r="G561" s="16" t="s">
        <v>14</v>
      </c>
      <c r="H561" s="68">
        <f t="shared" ref="H561:O561" si="286">SUM(H559:H560)</f>
        <v>478</v>
      </c>
      <c r="I561" s="68">
        <f t="shared" si="286"/>
        <v>10954</v>
      </c>
      <c r="J561" s="68">
        <f t="shared" si="286"/>
        <v>53492</v>
      </c>
      <c r="K561" s="68">
        <f t="shared" si="286"/>
        <v>52181</v>
      </c>
      <c r="L561" s="68">
        <f t="shared" si="286"/>
        <v>50795</v>
      </c>
      <c r="M561" s="68">
        <f t="shared" si="286"/>
        <v>49408</v>
      </c>
      <c r="N561" s="68">
        <f t="shared" si="286"/>
        <v>48021</v>
      </c>
      <c r="O561" s="68">
        <f t="shared" si="286"/>
        <v>157235</v>
      </c>
      <c r="P561" s="18">
        <f t="shared" si="270"/>
        <v>422564</v>
      </c>
    </row>
    <row r="562" spans="1:16" ht="14.25" customHeight="1" x14ac:dyDescent="0.25">
      <c r="A562" s="149">
        <f t="shared" si="281"/>
        <v>185</v>
      </c>
      <c r="B562" s="134" t="s">
        <v>8</v>
      </c>
      <c r="C562" s="145" t="s">
        <v>671</v>
      </c>
      <c r="D562" s="158" t="s">
        <v>667</v>
      </c>
      <c r="E562" s="158" t="s">
        <v>668</v>
      </c>
      <c r="F562" s="12"/>
      <c r="G562" s="44" t="s">
        <v>12</v>
      </c>
      <c r="H562" s="64">
        <v>0</v>
      </c>
      <c r="I562" s="64">
        <v>0</v>
      </c>
      <c r="J562" s="64">
        <v>35296</v>
      </c>
      <c r="K562" s="64">
        <v>35296</v>
      </c>
      <c r="L562" s="64">
        <v>35296</v>
      </c>
      <c r="M562" s="64">
        <v>35296</v>
      </c>
      <c r="N562" s="64">
        <v>35296</v>
      </c>
      <c r="O562" s="64">
        <f>300008-176480</f>
        <v>123528</v>
      </c>
      <c r="P562" s="13">
        <f t="shared" si="270"/>
        <v>300008</v>
      </c>
    </row>
    <row r="563" spans="1:16" ht="14.25" customHeight="1" x14ac:dyDescent="0.25">
      <c r="A563" s="150"/>
      <c r="B563" s="134"/>
      <c r="C563" s="135"/>
      <c r="D563" s="133"/>
      <c r="E563" s="133"/>
      <c r="F563" s="46" t="s">
        <v>669</v>
      </c>
      <c r="G563" s="14" t="s">
        <v>316</v>
      </c>
      <c r="H563" s="67">
        <v>425</v>
      </c>
      <c r="I563" s="67">
        <v>9485</v>
      </c>
      <c r="J563" s="67">
        <v>9657</v>
      </c>
      <c r="K563" s="67">
        <v>8556</v>
      </c>
      <c r="L563" s="67">
        <v>7391</v>
      </c>
      <c r="M563" s="67">
        <v>6225</v>
      </c>
      <c r="N563" s="67">
        <v>5060</v>
      </c>
      <c r="O563" s="67">
        <f>55398-46799</f>
        <v>8599</v>
      </c>
      <c r="P563" s="15">
        <f t="shared" si="270"/>
        <v>55398</v>
      </c>
    </row>
    <row r="564" spans="1:16" ht="14.25" customHeight="1" x14ac:dyDescent="0.25">
      <c r="A564" s="151"/>
      <c r="B564" s="134"/>
      <c r="C564" s="135"/>
      <c r="D564" s="133"/>
      <c r="E564" s="133"/>
      <c r="F564" s="41"/>
      <c r="G564" s="16" t="s">
        <v>14</v>
      </c>
      <c r="H564" s="68">
        <f t="shared" ref="H564:O564" si="287">SUM(H562:H563)</f>
        <v>425</v>
      </c>
      <c r="I564" s="68">
        <f t="shared" si="287"/>
        <v>9485</v>
      </c>
      <c r="J564" s="68">
        <f t="shared" si="287"/>
        <v>44953</v>
      </c>
      <c r="K564" s="68">
        <f t="shared" si="287"/>
        <v>43852</v>
      </c>
      <c r="L564" s="68">
        <f t="shared" si="287"/>
        <v>42687</v>
      </c>
      <c r="M564" s="68">
        <f t="shared" si="287"/>
        <v>41521</v>
      </c>
      <c r="N564" s="68">
        <f t="shared" si="287"/>
        <v>40356</v>
      </c>
      <c r="O564" s="68">
        <f t="shared" si="287"/>
        <v>132127</v>
      </c>
      <c r="P564" s="18">
        <f t="shared" si="270"/>
        <v>355406</v>
      </c>
    </row>
    <row r="565" spans="1:16" ht="14.25" customHeight="1" x14ac:dyDescent="0.25">
      <c r="A565" s="149">
        <f t="shared" si="281"/>
        <v>186</v>
      </c>
      <c r="B565" s="134" t="s">
        <v>8</v>
      </c>
      <c r="C565" s="145" t="s">
        <v>672</v>
      </c>
      <c r="D565" s="158" t="s">
        <v>667</v>
      </c>
      <c r="E565" s="158" t="s">
        <v>668</v>
      </c>
      <c r="F565" s="12"/>
      <c r="G565" s="44" t="s">
        <v>12</v>
      </c>
      <c r="H565" s="64">
        <v>0</v>
      </c>
      <c r="I565" s="64">
        <v>0</v>
      </c>
      <c r="J565" s="64">
        <v>35296</v>
      </c>
      <c r="K565" s="64">
        <v>35296</v>
      </c>
      <c r="L565" s="64">
        <v>35296</v>
      </c>
      <c r="M565" s="64">
        <v>35296</v>
      </c>
      <c r="N565" s="64">
        <v>35296</v>
      </c>
      <c r="O565" s="64">
        <f>300008-176480</f>
        <v>123528</v>
      </c>
      <c r="P565" s="13">
        <f t="shared" si="270"/>
        <v>300008</v>
      </c>
    </row>
    <row r="566" spans="1:16" ht="14.25" customHeight="1" x14ac:dyDescent="0.25">
      <c r="A566" s="150"/>
      <c r="B566" s="134"/>
      <c r="C566" s="135"/>
      <c r="D566" s="133"/>
      <c r="E566" s="133"/>
      <c r="F566" s="46" t="s">
        <v>669</v>
      </c>
      <c r="G566" s="14" t="s">
        <v>316</v>
      </c>
      <c r="H566" s="67">
        <v>480</v>
      </c>
      <c r="I566" s="67">
        <v>9540</v>
      </c>
      <c r="J566" s="67">
        <v>9657</v>
      </c>
      <c r="K566" s="67">
        <v>8556</v>
      </c>
      <c r="L566" s="67">
        <v>7391</v>
      </c>
      <c r="M566" s="67">
        <v>6225</v>
      </c>
      <c r="N566" s="67">
        <v>5060</v>
      </c>
      <c r="O566" s="67">
        <f>55398-46799</f>
        <v>8599</v>
      </c>
      <c r="P566" s="15">
        <f t="shared" si="270"/>
        <v>55508</v>
      </c>
    </row>
    <row r="567" spans="1:16" ht="14.25" customHeight="1" x14ac:dyDescent="0.25">
      <c r="A567" s="151"/>
      <c r="B567" s="134"/>
      <c r="C567" s="135"/>
      <c r="D567" s="133"/>
      <c r="E567" s="133"/>
      <c r="F567" s="41"/>
      <c r="G567" s="16" t="s">
        <v>14</v>
      </c>
      <c r="H567" s="68">
        <f t="shared" ref="H567:O567" si="288">SUM(H565:H566)</f>
        <v>480</v>
      </c>
      <c r="I567" s="68">
        <f t="shared" si="288"/>
        <v>9540</v>
      </c>
      <c r="J567" s="68">
        <f t="shared" si="288"/>
        <v>44953</v>
      </c>
      <c r="K567" s="68">
        <f t="shared" si="288"/>
        <v>43852</v>
      </c>
      <c r="L567" s="68">
        <f t="shared" si="288"/>
        <v>42687</v>
      </c>
      <c r="M567" s="68">
        <f t="shared" si="288"/>
        <v>41521</v>
      </c>
      <c r="N567" s="68">
        <f t="shared" si="288"/>
        <v>40356</v>
      </c>
      <c r="O567" s="68">
        <f t="shared" si="288"/>
        <v>132127</v>
      </c>
      <c r="P567" s="18">
        <f t="shared" si="270"/>
        <v>355516</v>
      </c>
    </row>
    <row r="568" spans="1:16" ht="14.25" customHeight="1" x14ac:dyDescent="0.25">
      <c r="A568" s="149">
        <f t="shared" ref="A568" si="289">A565+1</f>
        <v>187</v>
      </c>
      <c r="B568" s="134" t="s">
        <v>8</v>
      </c>
      <c r="C568" s="145" t="s">
        <v>741</v>
      </c>
      <c r="D568" s="158" t="s">
        <v>673</v>
      </c>
      <c r="E568" s="158" t="s">
        <v>674</v>
      </c>
      <c r="F568" s="12"/>
      <c r="G568" s="44" t="s">
        <v>12</v>
      </c>
      <c r="H568" s="64">
        <v>0</v>
      </c>
      <c r="I568" s="64">
        <v>0</v>
      </c>
      <c r="J568" s="64">
        <v>76184</v>
      </c>
      <c r="K568" s="64">
        <v>76184</v>
      </c>
      <c r="L568" s="64">
        <v>76184</v>
      </c>
      <c r="M568" s="64">
        <v>76184</v>
      </c>
      <c r="N568" s="64">
        <v>76184</v>
      </c>
      <c r="O568" s="64">
        <f>1028500-380920</f>
        <v>647580</v>
      </c>
      <c r="P568" s="13">
        <f t="shared" si="270"/>
        <v>1028500</v>
      </c>
    </row>
    <row r="569" spans="1:16" ht="14.25" customHeight="1" x14ac:dyDescent="0.25">
      <c r="A569" s="150"/>
      <c r="B569" s="134"/>
      <c r="C569" s="135"/>
      <c r="D569" s="133"/>
      <c r="E569" s="133"/>
      <c r="F569" s="46" t="s">
        <v>669</v>
      </c>
      <c r="G569" s="14" t="s">
        <v>316</v>
      </c>
      <c r="H569" s="67">
        <v>35</v>
      </c>
      <c r="I569" s="67">
        <v>13403</v>
      </c>
      <c r="J569" s="67">
        <v>33108</v>
      </c>
      <c r="K569" s="67">
        <v>33421</v>
      </c>
      <c r="L569" s="67">
        <v>31044</v>
      </c>
      <c r="M569" s="67">
        <v>28528</v>
      </c>
      <c r="N569" s="67">
        <v>26014</v>
      </c>
      <c r="O569" s="67">
        <f>255147-165553</f>
        <v>89594</v>
      </c>
      <c r="P569" s="15">
        <f t="shared" si="270"/>
        <v>255147</v>
      </c>
    </row>
    <row r="570" spans="1:16" ht="14.25" customHeight="1" x14ac:dyDescent="0.25">
      <c r="A570" s="151"/>
      <c r="B570" s="134"/>
      <c r="C570" s="135"/>
      <c r="D570" s="133"/>
      <c r="E570" s="133"/>
      <c r="F570" s="41"/>
      <c r="G570" s="16" t="s">
        <v>14</v>
      </c>
      <c r="H570" s="68">
        <f t="shared" ref="H570:O570" si="290">SUM(H568:H569)</f>
        <v>35</v>
      </c>
      <c r="I570" s="68">
        <f t="shared" si="290"/>
        <v>13403</v>
      </c>
      <c r="J570" s="68">
        <f t="shared" si="290"/>
        <v>109292</v>
      </c>
      <c r="K570" s="68">
        <f t="shared" si="290"/>
        <v>109605</v>
      </c>
      <c r="L570" s="68">
        <f t="shared" si="290"/>
        <v>107228</v>
      </c>
      <c r="M570" s="68">
        <f t="shared" si="290"/>
        <v>104712</v>
      </c>
      <c r="N570" s="68">
        <f t="shared" si="290"/>
        <v>102198</v>
      </c>
      <c r="O570" s="68">
        <f t="shared" si="290"/>
        <v>737174</v>
      </c>
      <c r="P570" s="18">
        <f t="shared" si="270"/>
        <v>1283647</v>
      </c>
    </row>
    <row r="571" spans="1:16" ht="14.25" hidden="1" customHeight="1" outlineLevel="1" x14ac:dyDescent="0.25">
      <c r="A571" s="133"/>
      <c r="B571" s="134" t="s">
        <v>8</v>
      </c>
      <c r="C571" s="145"/>
      <c r="D571" s="158"/>
      <c r="E571" s="158"/>
      <c r="F571" s="12"/>
      <c r="G571" s="44" t="s">
        <v>12</v>
      </c>
      <c r="H571" s="64"/>
      <c r="I571" s="64"/>
      <c r="J571" s="64"/>
      <c r="K571" s="64"/>
      <c r="L571" s="64"/>
      <c r="M571" s="64"/>
      <c r="N571" s="64"/>
      <c r="O571" s="64"/>
      <c r="P571" s="13">
        <f t="shared" si="270"/>
        <v>0</v>
      </c>
    </row>
    <row r="572" spans="1:16" ht="14.25" hidden="1" customHeight="1" outlineLevel="1" x14ac:dyDescent="0.25">
      <c r="A572" s="133"/>
      <c r="B572" s="134"/>
      <c r="C572" s="135"/>
      <c r="D572" s="133"/>
      <c r="E572" s="133"/>
      <c r="F572" s="46" t="s">
        <v>669</v>
      </c>
      <c r="G572" s="14" t="s">
        <v>316</v>
      </c>
      <c r="H572" s="67"/>
      <c r="I572" s="67"/>
      <c r="J572" s="67"/>
      <c r="K572" s="67"/>
      <c r="L572" s="67"/>
      <c r="M572" s="67"/>
      <c r="N572" s="67"/>
      <c r="O572" s="67"/>
      <c r="P572" s="15">
        <f t="shared" si="270"/>
        <v>0</v>
      </c>
    </row>
    <row r="573" spans="1:16" ht="14.25" hidden="1" customHeight="1" outlineLevel="1" x14ac:dyDescent="0.25">
      <c r="A573" s="133"/>
      <c r="B573" s="134"/>
      <c r="C573" s="135"/>
      <c r="D573" s="133"/>
      <c r="E573" s="133"/>
      <c r="F573" s="41"/>
      <c r="G573" s="16" t="s">
        <v>14</v>
      </c>
      <c r="H573" s="68">
        <f t="shared" ref="H573:O573" si="291">SUM(H571:H572)</f>
        <v>0</v>
      </c>
      <c r="I573" s="68">
        <f t="shared" si="291"/>
        <v>0</v>
      </c>
      <c r="J573" s="68">
        <f t="shared" si="291"/>
        <v>0</v>
      </c>
      <c r="K573" s="68">
        <f t="shared" si="291"/>
        <v>0</v>
      </c>
      <c r="L573" s="68">
        <f t="shared" si="291"/>
        <v>0</v>
      </c>
      <c r="M573" s="68">
        <f t="shared" si="291"/>
        <v>0</v>
      </c>
      <c r="N573" s="68">
        <f t="shared" si="291"/>
        <v>0</v>
      </c>
      <c r="O573" s="68">
        <f t="shared" si="291"/>
        <v>0</v>
      </c>
      <c r="P573" s="37">
        <f t="shared" si="270"/>
        <v>0</v>
      </c>
    </row>
    <row r="574" spans="1:16" ht="14.25" hidden="1" customHeight="1" outlineLevel="1" x14ac:dyDescent="0.25">
      <c r="A574" s="133"/>
      <c r="B574" s="134" t="s">
        <v>8</v>
      </c>
      <c r="C574" s="145"/>
      <c r="D574" s="158"/>
      <c r="E574" s="158"/>
      <c r="F574" s="12"/>
      <c r="G574" s="44" t="s">
        <v>12</v>
      </c>
      <c r="H574" s="64"/>
      <c r="I574" s="64"/>
      <c r="J574" s="64"/>
      <c r="K574" s="64"/>
      <c r="L574" s="64"/>
      <c r="M574" s="64"/>
      <c r="N574" s="64"/>
      <c r="O574" s="64"/>
      <c r="P574" s="13">
        <f t="shared" si="270"/>
        <v>0</v>
      </c>
    </row>
    <row r="575" spans="1:16" ht="14.25" hidden="1" customHeight="1" outlineLevel="1" x14ac:dyDescent="0.25">
      <c r="A575" s="133"/>
      <c r="B575" s="134"/>
      <c r="C575" s="135"/>
      <c r="D575" s="133"/>
      <c r="E575" s="133"/>
      <c r="F575" s="46" t="s">
        <v>669</v>
      </c>
      <c r="G575" s="14" t="s">
        <v>316</v>
      </c>
      <c r="H575" s="67"/>
      <c r="I575" s="67"/>
      <c r="J575" s="67"/>
      <c r="K575" s="67"/>
      <c r="L575" s="67"/>
      <c r="M575" s="67"/>
      <c r="N575" s="67"/>
      <c r="O575" s="67"/>
      <c r="P575" s="15">
        <f t="shared" si="270"/>
        <v>0</v>
      </c>
    </row>
    <row r="576" spans="1:16" ht="14.25" hidden="1" customHeight="1" outlineLevel="1" x14ac:dyDescent="0.25">
      <c r="A576" s="133"/>
      <c r="B576" s="134"/>
      <c r="C576" s="135"/>
      <c r="D576" s="133"/>
      <c r="E576" s="133"/>
      <c r="F576" s="41"/>
      <c r="G576" s="16" t="s">
        <v>14</v>
      </c>
      <c r="H576" s="68">
        <f t="shared" ref="H576:O576" si="292">SUM(H574:H575)</f>
        <v>0</v>
      </c>
      <c r="I576" s="68">
        <f t="shared" si="292"/>
        <v>0</v>
      </c>
      <c r="J576" s="68">
        <f t="shared" si="292"/>
        <v>0</v>
      </c>
      <c r="K576" s="68">
        <f t="shared" si="292"/>
        <v>0</v>
      </c>
      <c r="L576" s="68">
        <f t="shared" si="292"/>
        <v>0</v>
      </c>
      <c r="M576" s="68">
        <f t="shared" si="292"/>
        <v>0</v>
      </c>
      <c r="N576" s="68">
        <f t="shared" si="292"/>
        <v>0</v>
      </c>
      <c r="O576" s="68">
        <f t="shared" si="292"/>
        <v>0</v>
      </c>
      <c r="P576" s="37">
        <f t="shared" si="270"/>
        <v>0</v>
      </c>
    </row>
    <row r="577" spans="1:19" ht="13.5" customHeight="1" collapsed="1" x14ac:dyDescent="0.25">
      <c r="A577" s="181"/>
      <c r="B577" s="182" t="s">
        <v>675</v>
      </c>
      <c r="C577" s="183" t="s">
        <v>676</v>
      </c>
      <c r="D577" s="182" t="s">
        <v>675</v>
      </c>
      <c r="E577" s="182" t="s">
        <v>675</v>
      </c>
      <c r="F577" s="182" t="s">
        <v>675</v>
      </c>
      <c r="G577" s="72" t="s">
        <v>12</v>
      </c>
      <c r="H577" s="73">
        <f>H10+H13+H16+H19+H22+H25+H28+H31+H34+H37+H40+H43+H46+H49+H52+H55+H58+H61+H64+H67+H70+H73+H76+H79+H82+H85+H88+H91+H94+H97+H100+H103+H106+H109+H112+H115+H118+H121+H124+H127+H130+H133+H136+H139+H142+H145+H148+H151+H154+H157+H160+H163+H166+H169+H172+H175+H178+H181+H184+H187+H190+H193+H196+H199+H202+H205+H208+H211+H214+H217+H220+H223+H226+H229+H232+H235+H238+H241+H244+H247+H250+H253+H256+H259+H262+H265+H268+H271+H274+H277+H280+H283+H286+H289+H292+H295+H298+H301+H304+H307+H310+H313+H316+H319+H322+H325+H328+H331+H334+H337+H340+H343+H346+H349+H352+H355+H358+H361+H364+H367+H370+H373+H376+H379+H382+H385++H388+H391+H394+H397+H400+H403+H406+H409+H412+H415+H418+H421+H424+H427+H430+H433+H436+H439+H442+H445+H448+H451+H454+H457+H460+H463+H466+H469+H472+H475+H478+H481+H484+H487+H490+H493+H496+H499+H502+H505+H508+H511+H514+H517+H520+H523+H526+H529+H532+H535+H538+H541+H544+H547+H550+H553+H556+H559+H562+H565+H568+H571+H574</f>
        <v>6818394</v>
      </c>
      <c r="I577" s="73">
        <f t="shared" ref="I577:P579" si="293">I10+I13+I16+I19+I22+I25+I28+I31+I34+I37+I40+I43+I46+I49+I52+I55+I58+I61+I64+I67+I70+I73+I76+I79+I82+I85+I88+I91+I94+I97+I100+I103+I106+I109+I112+I115+I118+I121+I124+I127+I130+I133+I136+I139+I142+I145+I148+I151+I154+I157+I160+I163+I166+I169+I172+I175+I178+I181+I184+I187+I190+I193+I196+I199+I202+I205+I208+I211+I214+I217+I220+I223+I226+I229+I232+I235+I238+I241+I244+I247+I250+I253+I256+I259+I262+I265+I268+I271+I274+I277+I280+I283+I286+I289+I292+I295+I298+I301+I304+I307+I310+I313+I316+I319+I322+I325+I328+I331+I334+I337+I340+I343+I346+I349+I352+I355+I358+I361+I364+I367+I370+I373+I376+I379+I382+I385++I388+I391+I394+I397+I400+I403+I406+I409+I412+I415+I418+I421+I424+I427+I430+I433+I436+I439+I442+I445+I448+I451+I454+I457+I460+I463+I466+I469+I472+I475+I478+I481+I484+I487+I490+I493+I496+I499+I502+I505+I508+I511+I514+I517+I520+I523+I526+I529+I532+I535+I538+I541+I544+I547+I550+I553+I556+I559+I562+I565+I568+I571+I574</f>
        <v>5699515</v>
      </c>
      <c r="J577" s="73">
        <f t="shared" si="293"/>
        <v>5767860</v>
      </c>
      <c r="K577" s="73">
        <f t="shared" si="293"/>
        <v>5373421</v>
      </c>
      <c r="L577" s="73">
        <f t="shared" si="293"/>
        <v>5239506</v>
      </c>
      <c r="M577" s="73">
        <f t="shared" si="293"/>
        <v>5140309</v>
      </c>
      <c r="N577" s="73">
        <f t="shared" si="293"/>
        <v>5091493</v>
      </c>
      <c r="O577" s="73">
        <f t="shared" si="293"/>
        <v>48376601.550000004</v>
      </c>
      <c r="P577" s="73">
        <f t="shared" si="293"/>
        <v>87507099.549999997</v>
      </c>
      <c r="Q577" s="74"/>
    </row>
    <row r="578" spans="1:19" ht="13.5" customHeight="1" x14ac:dyDescent="0.25">
      <c r="A578" s="181"/>
      <c r="B578" s="134"/>
      <c r="C578" s="183"/>
      <c r="D578" s="134"/>
      <c r="E578" s="134"/>
      <c r="F578" s="182"/>
      <c r="G578" s="75" t="s">
        <v>13</v>
      </c>
      <c r="H578" s="76">
        <f>H11+H14+H17+H20+H23+H26+H29+H32+H35+H38+H41+H44+H47+H50+H53+H56+H59+H62+H65+H68+H71+H74+H77+H80+H83+H86+H89+H92+H95+H98+H101+H104+H107+H110+H113+H116+H119+H122+H125+H128+H131+H134+H137+H140+H143+H146+H149+H152+H155+H158+H161+H164+H167+H170+H173+H176+H179+H182+H185+H188+H191+H194+H197+H200+H203+H206+H209+H212+H215+H218+H221+H224+H227+H230+H233+H236+H239+H242+H245+H248+H251+H254+H257+H260+H263+H266+H269+H272+H275+H278+H281+H284+H287+H290+H293+H296+H299+H302+H305+H308+H311+H314+H317+H320+H323+H326+H329+H332+H335+H338+H341+H344+H347+H350+H353+H356+H359+H362+H365+H368+H371+H374+H377+H380+H383+H386++H389+H392+H395+H398+H401+H404+H407+H410+H413+H416+H419+H422+H425+H428+H431+H434+H437+H440+H443+H446+H449+H452+H455+H458+H461+H464+H467+H470+H473+H476+H479+H482+H485+H488+H491+H494+H497+H500+H503+H506+H509+H512+H515+H518+H521+H524+H527+H530+H533+H536+H539+H542+H545+H548+H551+H554+H557+H560+H563+H566+H569+H572+H575</f>
        <v>2327180</v>
      </c>
      <c r="I578" s="76">
        <f t="shared" si="293"/>
        <v>2387478</v>
      </c>
      <c r="J578" s="76">
        <f t="shared" si="293"/>
        <v>2241443</v>
      </c>
      <c r="K578" s="76">
        <f t="shared" si="293"/>
        <v>2081245</v>
      </c>
      <c r="L578" s="76">
        <f t="shared" si="293"/>
        <v>1921206</v>
      </c>
      <c r="M578" s="76">
        <f t="shared" si="293"/>
        <v>1764209</v>
      </c>
      <c r="N578" s="76">
        <f t="shared" si="293"/>
        <v>1384675</v>
      </c>
      <c r="O578" s="76">
        <f t="shared" si="293"/>
        <v>9719344</v>
      </c>
      <c r="P578" s="76">
        <f t="shared" si="293"/>
        <v>23826780</v>
      </c>
      <c r="Q578" s="74"/>
      <c r="S578" s="74"/>
    </row>
    <row r="579" spans="1:19" ht="15" customHeight="1" x14ac:dyDescent="0.25">
      <c r="A579" s="181"/>
      <c r="B579" s="134"/>
      <c r="C579" s="183"/>
      <c r="D579" s="134"/>
      <c r="E579" s="134"/>
      <c r="F579" s="182"/>
      <c r="G579" s="77" t="s">
        <v>677</v>
      </c>
      <c r="H579" s="78">
        <f>H12+H15+H18+H21+H24+H27+H30+H33+H36+H39+H42+H45+H48+H51+H54+H57+H60+H63+H66+H69+H72+H75+H78+H81+H84+H87+H90+H93+H96+H99+H102+H105+H108+H111+H114+H117+H120+H123+H126+H129+H132+H135+H138+H141+H144+H147+H150+H153+H156+H159+H162+H165+H168+H171+H174+H177+H180+H183+H186+H189+H192+H195+H198+H201+H204+H207+H210+H213+H216+H219+H222+H225+H228+H231+H234+H237+H240+H243+H246+H249+H252+H255+H258+H261+H264+H267+H270+H273+H276+H279+H282+H285+H288+H291+H294+H297+H300+H303+H306+H309+H312+H315+H318+H321+H324+H327+H330+H333+H336+H339+H342+H345+H348+H351+H354+H357+H360+H363+H366+H369+H372+H375+H378+H381+H384+H387++H390+H393+H396+H399+H402+H405+H408+H411+H414+H417+H420+H423+H426+H429+H432+H435+H438+H441+H444+H447+H450+H453+H456+H459+H462+H465+H468+H471+H474+H477+H480+H483+H486+H489+H492+H495+H498+H501+H504+H507+H510+H513+H516+H519+H522+H525+H528+H531+H534+H537+H540+H543+H546+H549+H552+H555+H558+H561+H564+H567+H570+H573+H576</f>
        <v>9145574</v>
      </c>
      <c r="I579" s="78">
        <f t="shared" si="293"/>
        <v>8086993</v>
      </c>
      <c r="J579" s="78">
        <f t="shared" si="293"/>
        <v>8009303</v>
      </c>
      <c r="K579" s="78">
        <f t="shared" si="293"/>
        <v>7454666</v>
      </c>
      <c r="L579" s="78">
        <f t="shared" si="293"/>
        <v>7160712</v>
      </c>
      <c r="M579" s="78">
        <f t="shared" si="293"/>
        <v>6904518</v>
      </c>
      <c r="N579" s="78">
        <f t="shared" si="293"/>
        <v>6476168</v>
      </c>
      <c r="O579" s="78">
        <f t="shared" si="293"/>
        <v>58095945.550000004</v>
      </c>
      <c r="P579" s="78">
        <f t="shared" si="293"/>
        <v>111333879.55</v>
      </c>
      <c r="Q579" s="74"/>
    </row>
    <row r="580" spans="1:19" ht="15" hidden="1" customHeight="1" outlineLevel="1" x14ac:dyDescent="0.25">
      <c r="A580" s="79"/>
      <c r="B580" s="80"/>
      <c r="C580" s="81"/>
      <c r="D580" s="80"/>
      <c r="E580" s="80"/>
      <c r="F580" s="82"/>
      <c r="G580" s="83" t="s">
        <v>678</v>
      </c>
      <c r="H580" s="84">
        <v>6845289</v>
      </c>
      <c r="I580" s="85"/>
      <c r="J580" s="85"/>
      <c r="K580" s="85"/>
      <c r="L580" s="85"/>
      <c r="M580" s="85"/>
      <c r="N580" s="85"/>
      <c r="O580" s="85"/>
      <c r="P580" s="85"/>
      <c r="Q580" s="74"/>
    </row>
    <row r="581" spans="1:19" ht="15" hidden="1" customHeight="1" outlineLevel="1" x14ac:dyDescent="0.25">
      <c r="A581" s="79"/>
      <c r="B581" s="80"/>
      <c r="C581" s="81"/>
      <c r="D581" s="80"/>
      <c r="E581" s="80"/>
      <c r="F581" s="82"/>
      <c r="G581" s="86" t="s">
        <v>679</v>
      </c>
      <c r="H581" s="87">
        <f>H577-H580</f>
        <v>-26895</v>
      </c>
      <c r="I581" s="85"/>
      <c r="J581" s="85"/>
      <c r="K581" s="85"/>
      <c r="L581" s="85"/>
      <c r="M581" s="85"/>
      <c r="N581" s="85"/>
      <c r="O581" s="85"/>
      <c r="P581" s="85"/>
      <c r="Q581" s="74"/>
    </row>
    <row r="582" spans="1:19" ht="17.25" hidden="1" customHeight="1" outlineLevel="1" x14ac:dyDescent="0.25">
      <c r="A582" s="79"/>
      <c r="B582" s="80"/>
      <c r="C582" s="81"/>
      <c r="D582" s="80"/>
      <c r="E582" s="80"/>
      <c r="F582" s="82"/>
      <c r="G582" s="83" t="s">
        <v>678</v>
      </c>
      <c r="H582" s="88">
        <v>2350820</v>
      </c>
      <c r="I582" s="85"/>
      <c r="J582" s="85"/>
      <c r="K582" s="85"/>
      <c r="L582" s="85"/>
      <c r="M582" s="85"/>
      <c r="N582" s="85"/>
      <c r="O582" s="85"/>
      <c r="P582" s="85"/>
      <c r="Q582" s="74"/>
    </row>
    <row r="583" spans="1:19" ht="16.5" hidden="1" customHeight="1" outlineLevel="1" x14ac:dyDescent="0.25">
      <c r="A583" s="79"/>
      <c r="B583" s="80"/>
      <c r="C583" s="89"/>
      <c r="D583" s="90"/>
      <c r="E583" s="90"/>
      <c r="F583" s="90"/>
      <c r="G583" s="91" t="s">
        <v>679</v>
      </c>
      <c r="H583" s="92">
        <f>H578-H582</f>
        <v>-23640</v>
      </c>
      <c r="I583" s="93"/>
      <c r="J583" s="93"/>
      <c r="K583" s="93"/>
      <c r="L583" s="93"/>
      <c r="M583" s="93"/>
      <c r="N583" s="93"/>
      <c r="O583" s="93"/>
      <c r="P583" s="93"/>
    </row>
    <row r="584" spans="1:19" ht="15" hidden="1" customHeight="1" outlineLevel="1" x14ac:dyDescent="0.25">
      <c r="A584" s="79"/>
      <c r="B584" s="80"/>
      <c r="C584" s="94" t="s">
        <v>680</v>
      </c>
      <c r="D584" s="95"/>
      <c r="E584" s="95"/>
      <c r="F584" s="96"/>
      <c r="G584" s="97" t="s">
        <v>12</v>
      </c>
      <c r="H584" s="98">
        <f>H577-H547-H550-H553-H556-H559-H562-H565</f>
        <v>6818394</v>
      </c>
      <c r="I584" s="98">
        <f t="shared" ref="I584:P586" si="294">I577-I547-I550-I553-I556-I559-I562-I565</f>
        <v>5684195</v>
      </c>
      <c r="J584" s="98">
        <f t="shared" si="294"/>
        <v>5535316</v>
      </c>
      <c r="K584" s="98">
        <f t="shared" si="294"/>
        <v>5140877</v>
      </c>
      <c r="L584" s="98">
        <f t="shared" si="294"/>
        <v>5006962</v>
      </c>
      <c r="M584" s="98">
        <f t="shared" si="294"/>
        <v>4907765</v>
      </c>
      <c r="N584" s="98">
        <f t="shared" si="294"/>
        <v>4858949</v>
      </c>
      <c r="O584" s="98">
        <f t="shared" si="294"/>
        <v>47238590.550000004</v>
      </c>
      <c r="P584" s="98">
        <f t="shared" si="294"/>
        <v>85191048.549999997</v>
      </c>
    </row>
    <row r="585" spans="1:19" ht="15" hidden="1" customHeight="1" outlineLevel="1" x14ac:dyDescent="0.25">
      <c r="A585" s="79"/>
      <c r="B585" s="80"/>
      <c r="C585" s="99"/>
      <c r="D585" s="95"/>
      <c r="E585" s="95"/>
      <c r="F585" s="96"/>
      <c r="G585" s="97" t="s">
        <v>13</v>
      </c>
      <c r="H585" s="98">
        <f>H578-H548-H551-H554-H557-H560-H563-H566</f>
        <v>2318945</v>
      </c>
      <c r="I585" s="98">
        <f t="shared" si="294"/>
        <v>2321161</v>
      </c>
      <c r="J585" s="98">
        <f t="shared" si="294"/>
        <v>2167817</v>
      </c>
      <c r="K585" s="98">
        <f t="shared" si="294"/>
        <v>2014893</v>
      </c>
      <c r="L585" s="98">
        <f t="shared" si="294"/>
        <v>1862486</v>
      </c>
      <c r="M585" s="98">
        <f t="shared" si="294"/>
        <v>1713124</v>
      </c>
      <c r="N585" s="98">
        <f t="shared" si="294"/>
        <v>1341224</v>
      </c>
      <c r="O585" s="98">
        <f t="shared" si="294"/>
        <v>9574463</v>
      </c>
      <c r="P585" s="98">
        <f t="shared" si="294"/>
        <v>23314113</v>
      </c>
    </row>
    <row r="586" spans="1:19" ht="15" hidden="1" customHeight="1" outlineLevel="1" x14ac:dyDescent="0.25">
      <c r="C586" s="100"/>
      <c r="D586" s="100"/>
      <c r="E586" s="100"/>
      <c r="F586" s="101"/>
      <c r="G586" s="101" t="s">
        <v>677</v>
      </c>
      <c r="H586" s="98">
        <f>H579-H549-H552-H555-H558-H561-H564-H567</f>
        <v>9137339</v>
      </c>
      <c r="I586" s="98">
        <f t="shared" si="294"/>
        <v>8005356</v>
      </c>
      <c r="J586" s="98">
        <f t="shared" si="294"/>
        <v>7703133</v>
      </c>
      <c r="K586" s="98">
        <f t="shared" si="294"/>
        <v>7155770</v>
      </c>
      <c r="L586" s="98">
        <f t="shared" si="294"/>
        <v>6869448</v>
      </c>
      <c r="M586" s="98">
        <f t="shared" si="294"/>
        <v>6620889</v>
      </c>
      <c r="N586" s="98">
        <f t="shared" si="294"/>
        <v>6200173</v>
      </c>
      <c r="O586" s="98">
        <f t="shared" si="294"/>
        <v>56813053.550000004</v>
      </c>
      <c r="P586" s="98">
        <f t="shared" si="294"/>
        <v>108505161.55</v>
      </c>
    </row>
    <row r="587" spans="1:19" collapsed="1" x14ac:dyDescent="0.25">
      <c r="A587" s="199" t="s">
        <v>681</v>
      </c>
      <c r="B587" s="200"/>
      <c r="C587" s="200"/>
      <c r="D587" s="200"/>
      <c r="E587" s="200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</row>
    <row r="588" spans="1:19" x14ac:dyDescent="0.25">
      <c r="A588" s="102">
        <v>1</v>
      </c>
      <c r="B588" s="102">
        <v>2</v>
      </c>
      <c r="C588" s="102">
        <v>3</v>
      </c>
      <c r="D588" s="102">
        <v>4</v>
      </c>
      <c r="E588" s="102">
        <v>5</v>
      </c>
      <c r="F588" s="103">
        <v>6</v>
      </c>
      <c r="G588" s="11">
        <v>7</v>
      </c>
      <c r="H588" s="11">
        <v>9</v>
      </c>
      <c r="I588" s="11">
        <v>10</v>
      </c>
      <c r="J588" s="9">
        <v>11</v>
      </c>
      <c r="K588" s="9">
        <v>12</v>
      </c>
      <c r="L588" s="9">
        <v>13</v>
      </c>
      <c r="M588" s="9">
        <v>14</v>
      </c>
      <c r="N588" s="9">
        <v>15</v>
      </c>
      <c r="O588" s="9">
        <v>16</v>
      </c>
      <c r="P588" s="9">
        <v>17</v>
      </c>
    </row>
    <row r="589" spans="1:19" ht="17.25" customHeight="1" x14ac:dyDescent="0.25">
      <c r="A589" s="149">
        <v>1</v>
      </c>
      <c r="B589" s="184" t="s">
        <v>8</v>
      </c>
      <c r="C589" s="201" t="s">
        <v>742</v>
      </c>
      <c r="D589" s="190" t="s">
        <v>682</v>
      </c>
      <c r="E589" s="141" t="s">
        <v>52</v>
      </c>
      <c r="F589" s="196" t="s">
        <v>683</v>
      </c>
      <c r="G589" s="12" t="s">
        <v>12</v>
      </c>
      <c r="H589" s="104">
        <v>10968</v>
      </c>
      <c r="I589" s="105">
        <v>7850</v>
      </c>
      <c r="J589" s="106">
        <v>0</v>
      </c>
      <c r="K589" s="27">
        <v>0</v>
      </c>
      <c r="L589" s="27">
        <v>0</v>
      </c>
      <c r="M589" s="27">
        <v>0</v>
      </c>
      <c r="N589" s="27">
        <v>0</v>
      </c>
      <c r="O589" s="107">
        <v>0</v>
      </c>
      <c r="P589" s="108">
        <f t="shared" ref="P589:P606" si="295">SUM(H589:O589)</f>
        <v>18818</v>
      </c>
    </row>
    <row r="590" spans="1:19" ht="17.25" customHeight="1" x14ac:dyDescent="0.25">
      <c r="A590" s="150"/>
      <c r="B590" s="185"/>
      <c r="C590" s="202"/>
      <c r="D590" s="191"/>
      <c r="E590" s="142"/>
      <c r="F590" s="197"/>
      <c r="G590" s="14" t="s">
        <v>13</v>
      </c>
      <c r="H590" s="109">
        <f>354+81</f>
        <v>435</v>
      </c>
      <c r="I590" s="110">
        <f>119+27</f>
        <v>146</v>
      </c>
      <c r="J590" s="111">
        <v>0</v>
      </c>
      <c r="K590" s="112">
        <v>0</v>
      </c>
      <c r="L590" s="112">
        <v>0</v>
      </c>
      <c r="M590" s="112">
        <v>0</v>
      </c>
      <c r="N590" s="112">
        <v>0</v>
      </c>
      <c r="O590" s="111">
        <v>0</v>
      </c>
      <c r="P590" s="108">
        <f t="shared" si="295"/>
        <v>581</v>
      </c>
    </row>
    <row r="591" spans="1:19" x14ac:dyDescent="0.25">
      <c r="A591" s="151"/>
      <c r="B591" s="186"/>
      <c r="C591" s="203"/>
      <c r="D591" s="192"/>
      <c r="E591" s="143"/>
      <c r="F591" s="198"/>
      <c r="G591" s="16" t="s">
        <v>14</v>
      </c>
      <c r="H591" s="113">
        <f t="shared" ref="H591:O591" si="296">SUM(H589:H590)</f>
        <v>11403</v>
      </c>
      <c r="I591" s="113">
        <f t="shared" si="296"/>
        <v>7996</v>
      </c>
      <c r="J591" s="114">
        <f t="shared" si="296"/>
        <v>0</v>
      </c>
      <c r="K591" s="114">
        <f t="shared" si="296"/>
        <v>0</v>
      </c>
      <c r="L591" s="114">
        <f t="shared" si="296"/>
        <v>0</v>
      </c>
      <c r="M591" s="114">
        <f t="shared" si="296"/>
        <v>0</v>
      </c>
      <c r="N591" s="114">
        <f t="shared" si="296"/>
        <v>0</v>
      </c>
      <c r="O591" s="114">
        <f t="shared" si="296"/>
        <v>0</v>
      </c>
      <c r="P591" s="115">
        <f t="shared" si="295"/>
        <v>19399</v>
      </c>
    </row>
    <row r="592" spans="1:19" x14ac:dyDescent="0.25">
      <c r="A592" s="149">
        <v>2</v>
      </c>
      <c r="B592" s="184" t="s">
        <v>8</v>
      </c>
      <c r="C592" s="187" t="s">
        <v>684</v>
      </c>
      <c r="D592" s="190" t="s">
        <v>685</v>
      </c>
      <c r="E592" s="193" t="s">
        <v>686</v>
      </c>
      <c r="F592" s="196" t="s">
        <v>687</v>
      </c>
      <c r="G592" s="12" t="s">
        <v>12</v>
      </c>
      <c r="H592" s="116">
        <v>46540</v>
      </c>
      <c r="I592" s="116">
        <v>46540</v>
      </c>
      <c r="J592" s="116">
        <v>46540</v>
      </c>
      <c r="K592" s="116">
        <v>46540</v>
      </c>
      <c r="L592" s="116">
        <v>46540</v>
      </c>
      <c r="M592" s="116">
        <v>46540</v>
      </c>
      <c r="N592" s="116">
        <v>46540</v>
      </c>
      <c r="O592" s="116">
        <f>279240-46540-46540-46540</f>
        <v>139620</v>
      </c>
      <c r="P592" s="108">
        <f>SUM(H592:O592)</f>
        <v>465400</v>
      </c>
    </row>
    <row r="593" spans="1:16" x14ac:dyDescent="0.25">
      <c r="A593" s="150"/>
      <c r="B593" s="185"/>
      <c r="C593" s="188"/>
      <c r="D593" s="191"/>
      <c r="E593" s="194"/>
      <c r="F593" s="197"/>
      <c r="G593" s="14" t="s">
        <v>13</v>
      </c>
      <c r="H593" s="109">
        <f>10207+2304</f>
        <v>12511</v>
      </c>
      <c r="I593" s="109">
        <f>9373+2087</f>
        <v>11460</v>
      </c>
      <c r="J593" s="117">
        <f>8350+1856</f>
        <v>10206</v>
      </c>
      <c r="K593" s="117">
        <f>7265+1614</f>
        <v>8879</v>
      </c>
      <c r="L593" s="117">
        <f>6204+1379</f>
        <v>7583</v>
      </c>
      <c r="M593" s="117">
        <f>5143+1143</f>
        <v>6286</v>
      </c>
      <c r="N593" s="117">
        <f>4096+910</f>
        <v>5006</v>
      </c>
      <c r="O593" s="109">
        <f>5887+1308</f>
        <v>7195</v>
      </c>
      <c r="P593" s="108">
        <f t="shared" si="295"/>
        <v>69126</v>
      </c>
    </row>
    <row r="594" spans="1:16" x14ac:dyDescent="0.25">
      <c r="A594" s="151"/>
      <c r="B594" s="186"/>
      <c r="C594" s="189"/>
      <c r="D594" s="192"/>
      <c r="E594" s="195"/>
      <c r="F594" s="198"/>
      <c r="G594" s="16" t="s">
        <v>14</v>
      </c>
      <c r="H594" s="113">
        <f t="shared" ref="H594:O594" si="297">SUM(H592:H593)</f>
        <v>59051</v>
      </c>
      <c r="I594" s="113">
        <f t="shared" si="297"/>
        <v>58000</v>
      </c>
      <c r="J594" s="113">
        <f t="shared" si="297"/>
        <v>56746</v>
      </c>
      <c r="K594" s="113">
        <f t="shared" si="297"/>
        <v>55419</v>
      </c>
      <c r="L594" s="113">
        <f t="shared" si="297"/>
        <v>54123</v>
      </c>
      <c r="M594" s="113">
        <f t="shared" si="297"/>
        <v>52826</v>
      </c>
      <c r="N594" s="113">
        <f t="shared" si="297"/>
        <v>51546</v>
      </c>
      <c r="O594" s="113">
        <f t="shared" si="297"/>
        <v>146815</v>
      </c>
      <c r="P594" s="115">
        <f t="shared" si="295"/>
        <v>534526</v>
      </c>
    </row>
    <row r="595" spans="1:16" x14ac:dyDescent="0.25">
      <c r="A595" s="149">
        <v>3</v>
      </c>
      <c r="B595" s="184" t="s">
        <v>8</v>
      </c>
      <c r="C595" s="207" t="s">
        <v>688</v>
      </c>
      <c r="D595" s="190" t="s">
        <v>689</v>
      </c>
      <c r="E595" s="193" t="s">
        <v>690</v>
      </c>
      <c r="F595" s="196" t="s">
        <v>691</v>
      </c>
      <c r="G595" s="12" t="s">
        <v>12</v>
      </c>
      <c r="H595" s="116">
        <v>12384</v>
      </c>
      <c r="I595" s="116">
        <v>12384</v>
      </c>
      <c r="J595" s="116">
        <v>12384</v>
      </c>
      <c r="K595" s="116">
        <v>12384</v>
      </c>
      <c r="L595" s="116">
        <v>12384</v>
      </c>
      <c r="M595" s="116">
        <v>12384</v>
      </c>
      <c r="N595" s="116">
        <v>12384</v>
      </c>
      <c r="O595" s="116">
        <f>109412-12384-12384-12384</f>
        <v>72260</v>
      </c>
      <c r="P595" s="108">
        <f t="shared" si="295"/>
        <v>158948</v>
      </c>
    </row>
    <row r="596" spans="1:16" x14ac:dyDescent="0.25">
      <c r="A596" s="150"/>
      <c r="B596" s="185"/>
      <c r="C596" s="208"/>
      <c r="D596" s="191"/>
      <c r="E596" s="194"/>
      <c r="F596" s="197"/>
      <c r="G596" s="14" t="s">
        <v>13</v>
      </c>
      <c r="H596" s="109">
        <f>3504+785</f>
        <v>4289</v>
      </c>
      <c r="I596" s="109">
        <f>3274+728</f>
        <v>4002</v>
      </c>
      <c r="J596" s="117">
        <f>3002+667</f>
        <v>3669</v>
      </c>
      <c r="K596" s="118">
        <f>2711+602</f>
        <v>3313</v>
      </c>
      <c r="L596" s="118">
        <f>2429+540</f>
        <v>2969</v>
      </c>
      <c r="M596" s="118">
        <f>2146+477</f>
        <v>2623</v>
      </c>
      <c r="N596" s="118">
        <f>1869+415</f>
        <v>2284</v>
      </c>
      <c r="O596" s="109">
        <f>5252+1167</f>
        <v>6419</v>
      </c>
      <c r="P596" s="108">
        <f t="shared" si="295"/>
        <v>29568</v>
      </c>
    </row>
    <row r="597" spans="1:16" x14ac:dyDescent="0.25">
      <c r="A597" s="151"/>
      <c r="B597" s="186"/>
      <c r="C597" s="209"/>
      <c r="D597" s="192"/>
      <c r="E597" s="195"/>
      <c r="F597" s="198"/>
      <c r="G597" s="16" t="s">
        <v>14</v>
      </c>
      <c r="H597" s="113">
        <f t="shared" ref="H597:O597" si="298">SUM(H595:H596)</f>
        <v>16673</v>
      </c>
      <c r="I597" s="113">
        <f t="shared" si="298"/>
        <v>16386</v>
      </c>
      <c r="J597" s="113">
        <f t="shared" si="298"/>
        <v>16053</v>
      </c>
      <c r="K597" s="113">
        <f t="shared" si="298"/>
        <v>15697</v>
      </c>
      <c r="L597" s="113">
        <f t="shared" si="298"/>
        <v>15353</v>
      </c>
      <c r="M597" s="113">
        <f t="shared" si="298"/>
        <v>15007</v>
      </c>
      <c r="N597" s="113">
        <f t="shared" si="298"/>
        <v>14668</v>
      </c>
      <c r="O597" s="113">
        <f t="shared" si="298"/>
        <v>78679</v>
      </c>
      <c r="P597" s="115">
        <f t="shared" si="295"/>
        <v>188516</v>
      </c>
    </row>
    <row r="598" spans="1:16" x14ac:dyDescent="0.25">
      <c r="A598" s="149">
        <v>4</v>
      </c>
      <c r="B598" s="184" t="s">
        <v>8</v>
      </c>
      <c r="C598" s="187" t="s">
        <v>684</v>
      </c>
      <c r="D598" s="190" t="s">
        <v>692</v>
      </c>
      <c r="E598" s="193" t="s">
        <v>693</v>
      </c>
      <c r="F598" s="204" t="s">
        <v>694</v>
      </c>
      <c r="G598" s="12" t="s">
        <v>12</v>
      </c>
      <c r="H598" s="116">
        <v>76356</v>
      </c>
      <c r="I598" s="116">
        <v>76356</v>
      </c>
      <c r="J598" s="116">
        <v>76356</v>
      </c>
      <c r="K598" s="116">
        <v>76356</v>
      </c>
      <c r="L598" s="116">
        <v>76356</v>
      </c>
      <c r="M598" s="116">
        <v>76356</v>
      </c>
      <c r="N598" s="116">
        <v>76356</v>
      </c>
      <c r="O598" s="116">
        <f>725382-76356-76356-76356</f>
        <v>496314</v>
      </c>
      <c r="P598" s="108">
        <f t="shared" si="295"/>
        <v>1030806</v>
      </c>
    </row>
    <row r="599" spans="1:16" x14ac:dyDescent="0.25">
      <c r="A599" s="150"/>
      <c r="B599" s="185"/>
      <c r="C599" s="188"/>
      <c r="D599" s="191"/>
      <c r="E599" s="194"/>
      <c r="F599" s="205"/>
      <c r="G599" s="14" t="s">
        <v>13</v>
      </c>
      <c r="H599" s="109">
        <f>22706+5128</f>
        <v>27834</v>
      </c>
      <c r="I599" s="109">
        <f>21505+4779</f>
        <v>26284</v>
      </c>
      <c r="J599" s="117">
        <f>19813+4403</f>
        <v>24216</v>
      </c>
      <c r="K599" s="117">
        <f>18016+4004</f>
        <v>22020</v>
      </c>
      <c r="L599" s="117">
        <f>16275+3617</f>
        <v>19892</v>
      </c>
      <c r="M599" s="117">
        <f>14535+3230</f>
        <v>17765</v>
      </c>
      <c r="N599" s="117">
        <f>12833+2852</f>
        <v>15685</v>
      </c>
      <c r="O599" s="109">
        <f>40808+9069</f>
        <v>49877</v>
      </c>
      <c r="P599" s="108">
        <f t="shared" si="295"/>
        <v>203573</v>
      </c>
    </row>
    <row r="600" spans="1:16" x14ac:dyDescent="0.25">
      <c r="A600" s="151"/>
      <c r="B600" s="186"/>
      <c r="C600" s="189"/>
      <c r="D600" s="192"/>
      <c r="E600" s="195"/>
      <c r="F600" s="206"/>
      <c r="G600" s="16" t="s">
        <v>14</v>
      </c>
      <c r="H600" s="113">
        <f t="shared" ref="H600:O600" si="299">SUM(H598:H599)</f>
        <v>104190</v>
      </c>
      <c r="I600" s="113">
        <f t="shared" si="299"/>
        <v>102640</v>
      </c>
      <c r="J600" s="113">
        <f t="shared" si="299"/>
        <v>100572</v>
      </c>
      <c r="K600" s="113">
        <f t="shared" si="299"/>
        <v>98376</v>
      </c>
      <c r="L600" s="113">
        <f t="shared" si="299"/>
        <v>96248</v>
      </c>
      <c r="M600" s="113">
        <f t="shared" si="299"/>
        <v>94121</v>
      </c>
      <c r="N600" s="113">
        <f t="shared" si="299"/>
        <v>92041</v>
      </c>
      <c r="O600" s="113">
        <f t="shared" si="299"/>
        <v>546191</v>
      </c>
      <c r="P600" s="115">
        <f t="shared" si="295"/>
        <v>1234379</v>
      </c>
    </row>
    <row r="601" spans="1:16" x14ac:dyDescent="0.25">
      <c r="A601" s="149">
        <v>5</v>
      </c>
      <c r="B601" s="184" t="s">
        <v>8</v>
      </c>
      <c r="C601" s="187" t="s">
        <v>695</v>
      </c>
      <c r="D601" s="190" t="s">
        <v>696</v>
      </c>
      <c r="E601" s="193" t="s">
        <v>296</v>
      </c>
      <c r="F601" s="196" t="s">
        <v>697</v>
      </c>
      <c r="G601" s="12" t="s">
        <v>12</v>
      </c>
      <c r="H601" s="116">
        <v>52751</v>
      </c>
      <c r="I601" s="116">
        <v>52732</v>
      </c>
      <c r="J601" s="116">
        <v>52732</v>
      </c>
      <c r="K601" s="116">
        <v>52732</v>
      </c>
      <c r="L601" s="116">
        <v>52732</v>
      </c>
      <c r="M601" s="116">
        <v>52732</v>
      </c>
      <c r="N601" s="116">
        <v>52732</v>
      </c>
      <c r="O601" s="116">
        <f>237097-52732-52732-52732</f>
        <v>78901</v>
      </c>
      <c r="P601" s="108">
        <f t="shared" si="295"/>
        <v>448044</v>
      </c>
    </row>
    <row r="602" spans="1:16" x14ac:dyDescent="0.25">
      <c r="A602" s="150"/>
      <c r="B602" s="185"/>
      <c r="C602" s="188"/>
      <c r="D602" s="191"/>
      <c r="E602" s="194"/>
      <c r="F602" s="197"/>
      <c r="G602" s="14" t="s">
        <v>13</v>
      </c>
      <c r="H602" s="109">
        <f>15740+6390</f>
        <v>22130</v>
      </c>
      <c r="I602" s="109">
        <f>17068-2191</f>
        <v>14877</v>
      </c>
      <c r="J602" s="117">
        <f>14778-1896</f>
        <v>12882</v>
      </c>
      <c r="K602" s="117">
        <f>12412-1593</f>
        <v>10819</v>
      </c>
      <c r="L602" s="117">
        <v>8793</v>
      </c>
      <c r="M602" s="117">
        <f>L602-1985</f>
        <v>6808</v>
      </c>
      <c r="N602" s="117">
        <v>4248</v>
      </c>
      <c r="O602" s="109">
        <f>24478-9527-6808-4248</f>
        <v>3895</v>
      </c>
      <c r="P602" s="108">
        <f t="shared" si="295"/>
        <v>84452</v>
      </c>
    </row>
    <row r="603" spans="1:16" x14ac:dyDescent="0.25">
      <c r="A603" s="151"/>
      <c r="B603" s="186"/>
      <c r="C603" s="189"/>
      <c r="D603" s="192"/>
      <c r="E603" s="195"/>
      <c r="F603" s="198"/>
      <c r="G603" s="16" t="s">
        <v>14</v>
      </c>
      <c r="H603" s="113">
        <f t="shared" ref="H603:O603" si="300">SUM(H601:H602)</f>
        <v>74881</v>
      </c>
      <c r="I603" s="113">
        <f t="shared" si="300"/>
        <v>67609</v>
      </c>
      <c r="J603" s="113">
        <f t="shared" si="300"/>
        <v>65614</v>
      </c>
      <c r="K603" s="113">
        <f t="shared" si="300"/>
        <v>63551</v>
      </c>
      <c r="L603" s="113">
        <f t="shared" si="300"/>
        <v>61525</v>
      </c>
      <c r="M603" s="113">
        <f t="shared" si="300"/>
        <v>59540</v>
      </c>
      <c r="N603" s="113">
        <f t="shared" si="300"/>
        <v>56980</v>
      </c>
      <c r="O603" s="113">
        <f t="shared" si="300"/>
        <v>82796</v>
      </c>
      <c r="P603" s="115">
        <f t="shared" si="295"/>
        <v>532496</v>
      </c>
    </row>
    <row r="604" spans="1:16" x14ac:dyDescent="0.25">
      <c r="A604" s="149">
        <v>6</v>
      </c>
      <c r="B604" s="184" t="s">
        <v>8</v>
      </c>
      <c r="C604" s="210" t="s">
        <v>698</v>
      </c>
      <c r="D604" s="190" t="s">
        <v>407</v>
      </c>
      <c r="E604" s="213" t="s">
        <v>403</v>
      </c>
      <c r="F604" s="216" t="s">
        <v>699</v>
      </c>
      <c r="G604" s="12" t="s">
        <v>12</v>
      </c>
      <c r="H604" s="116">
        <v>12079</v>
      </c>
      <c r="I604" s="116">
        <v>11492</v>
      </c>
      <c r="J604" s="116">
        <v>11492</v>
      </c>
      <c r="K604" s="116">
        <v>11492</v>
      </c>
      <c r="L604" s="116">
        <v>11492</v>
      </c>
      <c r="M604" s="116">
        <v>11492</v>
      </c>
      <c r="N604" s="116">
        <v>11492</v>
      </c>
      <c r="O604" s="116">
        <f>135031-11492-11492</f>
        <v>112047</v>
      </c>
      <c r="P604" s="108">
        <f t="shared" si="295"/>
        <v>193078</v>
      </c>
    </row>
    <row r="605" spans="1:16" x14ac:dyDescent="0.25">
      <c r="A605" s="150"/>
      <c r="B605" s="185"/>
      <c r="C605" s="211"/>
      <c r="D605" s="191"/>
      <c r="E605" s="214"/>
      <c r="F605" s="217"/>
      <c r="G605" s="14" t="s">
        <v>13</v>
      </c>
      <c r="H605" s="109">
        <v>3930</v>
      </c>
      <c r="I605" s="109">
        <v>4981</v>
      </c>
      <c r="J605" s="117">
        <v>4652</v>
      </c>
      <c r="K605" s="117">
        <v>4298</v>
      </c>
      <c r="L605" s="117">
        <v>3956</v>
      </c>
      <c r="M605" s="117">
        <v>3616</v>
      </c>
      <c r="N605" s="117">
        <v>3284</v>
      </c>
      <c r="O605" s="109">
        <f>14118</f>
        <v>14118</v>
      </c>
      <c r="P605" s="108">
        <f t="shared" si="295"/>
        <v>42835</v>
      </c>
    </row>
    <row r="606" spans="1:16" x14ac:dyDescent="0.25">
      <c r="A606" s="151"/>
      <c r="B606" s="186"/>
      <c r="C606" s="212"/>
      <c r="D606" s="192"/>
      <c r="E606" s="215"/>
      <c r="F606" s="218"/>
      <c r="G606" s="16" t="s">
        <v>14</v>
      </c>
      <c r="H606" s="113">
        <f t="shared" ref="H606:O606" si="301">SUM(H604:H605)</f>
        <v>16009</v>
      </c>
      <c r="I606" s="113">
        <f t="shared" si="301"/>
        <v>16473</v>
      </c>
      <c r="J606" s="113">
        <f t="shared" si="301"/>
        <v>16144</v>
      </c>
      <c r="K606" s="113">
        <f t="shared" si="301"/>
        <v>15790</v>
      </c>
      <c r="L606" s="113">
        <f t="shared" si="301"/>
        <v>15448</v>
      </c>
      <c r="M606" s="113">
        <f t="shared" si="301"/>
        <v>15108</v>
      </c>
      <c r="N606" s="113">
        <f t="shared" si="301"/>
        <v>14776</v>
      </c>
      <c r="O606" s="113">
        <f t="shared" si="301"/>
        <v>126165</v>
      </c>
      <c r="P606" s="115">
        <f t="shared" si="295"/>
        <v>235913</v>
      </c>
    </row>
    <row r="607" spans="1:16" x14ac:dyDescent="0.25">
      <c r="A607" s="225"/>
      <c r="B607" s="228"/>
      <c r="C607" s="231" t="s">
        <v>700</v>
      </c>
      <c r="D607" s="190"/>
      <c r="E607" s="234"/>
      <c r="F607" s="237"/>
      <c r="G607" s="72" t="s">
        <v>12</v>
      </c>
      <c r="H607" s="116">
        <f>H589+H592+H595+H598+H601+H604</f>
        <v>211078</v>
      </c>
      <c r="I607" s="116">
        <f t="shared" ref="I607:P609" si="302">I589+I592+I595+I598+I601+I604</f>
        <v>207354</v>
      </c>
      <c r="J607" s="116">
        <f t="shared" si="302"/>
        <v>199504</v>
      </c>
      <c r="K607" s="116">
        <f t="shared" si="302"/>
        <v>199504</v>
      </c>
      <c r="L607" s="116">
        <f t="shared" si="302"/>
        <v>199504</v>
      </c>
      <c r="M607" s="116">
        <f t="shared" si="302"/>
        <v>199504</v>
      </c>
      <c r="N607" s="116">
        <f t="shared" si="302"/>
        <v>199504</v>
      </c>
      <c r="O607" s="116">
        <f t="shared" si="302"/>
        <v>899142</v>
      </c>
      <c r="P607" s="116">
        <f t="shared" si="302"/>
        <v>2315094</v>
      </c>
    </row>
    <row r="608" spans="1:16" x14ac:dyDescent="0.25">
      <c r="A608" s="226"/>
      <c r="B608" s="229"/>
      <c r="C608" s="232"/>
      <c r="D608" s="191"/>
      <c r="E608" s="235"/>
      <c r="F608" s="238"/>
      <c r="G608" s="75" t="s">
        <v>13</v>
      </c>
      <c r="H608" s="109">
        <f>H590+H593+H596+H599+H602+H605</f>
        <v>71129</v>
      </c>
      <c r="I608" s="109">
        <f t="shared" si="302"/>
        <v>61750</v>
      </c>
      <c r="J608" s="109">
        <f t="shared" si="302"/>
        <v>55625</v>
      </c>
      <c r="K608" s="109">
        <f t="shared" si="302"/>
        <v>49329</v>
      </c>
      <c r="L608" s="109">
        <f t="shared" si="302"/>
        <v>43193</v>
      </c>
      <c r="M608" s="109">
        <f t="shared" si="302"/>
        <v>37098</v>
      </c>
      <c r="N608" s="109">
        <f t="shared" si="302"/>
        <v>30507</v>
      </c>
      <c r="O608" s="109">
        <f t="shared" si="302"/>
        <v>81504</v>
      </c>
      <c r="P608" s="109">
        <f t="shared" si="302"/>
        <v>430135</v>
      </c>
    </row>
    <row r="609" spans="1:16" ht="14.25" customHeight="1" x14ac:dyDescent="0.25">
      <c r="A609" s="227"/>
      <c r="B609" s="230"/>
      <c r="C609" s="233"/>
      <c r="D609" s="192"/>
      <c r="E609" s="236"/>
      <c r="F609" s="239"/>
      <c r="G609" s="77" t="s">
        <v>14</v>
      </c>
      <c r="H609" s="119">
        <f>H591+H594+H597+H600+H603+H606</f>
        <v>282207</v>
      </c>
      <c r="I609" s="119">
        <f t="shared" si="302"/>
        <v>269104</v>
      </c>
      <c r="J609" s="119">
        <f t="shared" si="302"/>
        <v>255129</v>
      </c>
      <c r="K609" s="119">
        <f t="shared" si="302"/>
        <v>248833</v>
      </c>
      <c r="L609" s="119">
        <f t="shared" si="302"/>
        <v>242697</v>
      </c>
      <c r="M609" s="119">
        <f t="shared" si="302"/>
        <v>236602</v>
      </c>
      <c r="N609" s="119">
        <f t="shared" si="302"/>
        <v>230011</v>
      </c>
      <c r="O609" s="119">
        <f t="shared" si="302"/>
        <v>980646</v>
      </c>
      <c r="P609" s="119">
        <f t="shared" si="302"/>
        <v>2745229</v>
      </c>
    </row>
    <row r="610" spans="1:16" x14ac:dyDescent="0.25">
      <c r="A610" s="3"/>
      <c r="B610" s="219"/>
      <c r="C610" s="219"/>
      <c r="D610" s="219"/>
      <c r="E610" s="219"/>
      <c r="F610" s="120"/>
      <c r="G610" s="3"/>
      <c r="H610" s="121"/>
      <c r="I610" s="121"/>
      <c r="J610" s="122"/>
      <c r="K610" s="122"/>
      <c r="L610" s="122"/>
      <c r="M610" s="122"/>
      <c r="N610" s="122"/>
      <c r="O610" s="121"/>
      <c r="P610" s="121"/>
    </row>
    <row r="612" spans="1:16" ht="15.75" customHeight="1" x14ac:dyDescent="0.25">
      <c r="A612" s="220" t="s">
        <v>701</v>
      </c>
      <c r="B612" s="220"/>
      <c r="C612" s="220"/>
      <c r="D612" s="220"/>
      <c r="E612" s="220"/>
      <c r="F612" s="220"/>
      <c r="G612" s="220"/>
      <c r="H612" s="123">
        <f t="shared" ref="H612:P612" si="303">H579+H609</f>
        <v>9427781</v>
      </c>
      <c r="I612" s="123">
        <f t="shared" si="303"/>
        <v>8356097</v>
      </c>
      <c r="J612" s="123">
        <f t="shared" si="303"/>
        <v>8264432</v>
      </c>
      <c r="K612" s="123">
        <f t="shared" si="303"/>
        <v>7703499</v>
      </c>
      <c r="L612" s="123">
        <f t="shared" si="303"/>
        <v>7403409</v>
      </c>
      <c r="M612" s="123">
        <f t="shared" si="303"/>
        <v>7141120</v>
      </c>
      <c r="N612" s="123">
        <f t="shared" si="303"/>
        <v>6706179</v>
      </c>
      <c r="O612" s="123">
        <f t="shared" si="303"/>
        <v>59076591.550000004</v>
      </c>
      <c r="P612" s="123">
        <f t="shared" si="303"/>
        <v>114079108.55</v>
      </c>
    </row>
    <row r="614" spans="1:16" ht="14.25" customHeight="1" x14ac:dyDescent="0.25">
      <c r="B614" s="221" t="s">
        <v>702</v>
      </c>
      <c r="C614" s="222"/>
      <c r="D614" s="222"/>
      <c r="E614" s="222"/>
      <c r="F614" s="222"/>
      <c r="G614" s="223"/>
      <c r="H614" s="124">
        <f t="shared" ref="H614:N614" si="304">H612*100/($P$615)</f>
        <v>11.641204315747071</v>
      </c>
      <c r="I614" s="124">
        <f t="shared" si="304"/>
        <v>10.3179138823018</v>
      </c>
      <c r="J614" s="124">
        <f t="shared" si="304"/>
        <v>10.204728076055034</v>
      </c>
      <c r="K614" s="124">
        <f t="shared" si="304"/>
        <v>9.5121010771414021</v>
      </c>
      <c r="L614" s="124">
        <f t="shared" si="304"/>
        <v>9.141556937103303</v>
      </c>
      <c r="M614" s="124">
        <f t="shared" si="304"/>
        <v>8.8176885911189196</v>
      </c>
      <c r="N614" s="124">
        <f t="shared" si="304"/>
        <v>8.2806335782484108</v>
      </c>
      <c r="O614" s="3"/>
      <c r="P614" s="3"/>
    </row>
    <row r="615" spans="1:16" ht="16.149999999999999" customHeight="1" x14ac:dyDescent="0.25">
      <c r="B615" s="224" t="s">
        <v>703</v>
      </c>
      <c r="C615" s="224"/>
      <c r="D615" s="224"/>
      <c r="E615" s="224"/>
      <c r="P615" s="125">
        <v>80986303</v>
      </c>
    </row>
    <row r="616" spans="1:16" ht="13.5" customHeight="1" x14ac:dyDescent="0.25">
      <c r="B616" s="126"/>
      <c r="C616" s="126"/>
      <c r="D616" s="126"/>
      <c r="E616" s="126"/>
    </row>
    <row r="617" spans="1:16" ht="15.75" hidden="1" customHeight="1" outlineLevel="1" x14ac:dyDescent="0.25">
      <c r="G617" s="127" t="s">
        <v>704</v>
      </c>
      <c r="H617" s="128">
        <f>(H586+H609)*100/$P$615</f>
        <v>11.631035929618864</v>
      </c>
      <c r="I617" s="128">
        <f>(I586+I609)*100/$P$615</f>
        <v>10.217110416807149</v>
      </c>
      <c r="J617" s="128">
        <f>(J586+J609)*100/$P$615</f>
        <v>9.8266764936781961</v>
      </c>
      <c r="K617" s="128">
        <f>(K586+K609)*100/$P$615</f>
        <v>9.1430312604836406</v>
      </c>
      <c r="L617" s="128">
        <f>(L586+L609)*100/$P$615</f>
        <v>8.781910936223376</v>
      </c>
      <c r="M617" s="128"/>
      <c r="N617" s="128"/>
    </row>
    <row r="618" spans="1:16" hidden="1" outlineLevel="1" x14ac:dyDescent="0.25">
      <c r="G618" s="127"/>
      <c r="H618" s="128">
        <f>H614-H617</f>
        <v>1.0168386128206919E-2</v>
      </c>
      <c r="I618" s="128">
        <f t="shared" ref="I618:K618" si="305">I614-I617</f>
        <v>0.10080346549465169</v>
      </c>
      <c r="J618" s="128">
        <f t="shared" si="305"/>
        <v>0.37805158237683756</v>
      </c>
      <c r="K618" s="128">
        <f t="shared" si="305"/>
        <v>0.36906981665776151</v>
      </c>
      <c r="L618" s="128"/>
      <c r="M618" s="128"/>
      <c r="N618" s="128"/>
    </row>
    <row r="619" spans="1:16" collapsed="1" x14ac:dyDescent="0.25">
      <c r="G619" s="129"/>
      <c r="H619" s="130"/>
      <c r="I619" s="130"/>
      <c r="J619" s="130"/>
      <c r="K619" s="130"/>
      <c r="L619" s="130"/>
      <c r="M619" s="130"/>
      <c r="N619" s="130"/>
    </row>
    <row r="621" spans="1:16" x14ac:dyDescent="0.25">
      <c r="G621" s="1"/>
    </row>
  </sheetData>
  <mergeCells count="1004">
    <mergeCell ref="B610:E610"/>
    <mergeCell ref="A612:G612"/>
    <mergeCell ref="B614:G614"/>
    <mergeCell ref="B615:E615"/>
    <mergeCell ref="A607:A609"/>
    <mergeCell ref="B607:B609"/>
    <mergeCell ref="C607:C609"/>
    <mergeCell ref="D607:D609"/>
    <mergeCell ref="E607:E609"/>
    <mergeCell ref="F607:F609"/>
    <mergeCell ref="A598:A600"/>
    <mergeCell ref="B598:B600"/>
    <mergeCell ref="C598:C600"/>
    <mergeCell ref="D598:D600"/>
    <mergeCell ref="E598:E600"/>
    <mergeCell ref="F598:F600"/>
    <mergeCell ref="A595:A597"/>
    <mergeCell ref="B595:B597"/>
    <mergeCell ref="C595:C597"/>
    <mergeCell ref="D595:D597"/>
    <mergeCell ref="E595:E597"/>
    <mergeCell ref="F595:F597"/>
    <mergeCell ref="A604:A606"/>
    <mergeCell ref="B604:B606"/>
    <mergeCell ref="C604:C606"/>
    <mergeCell ref="D604:D606"/>
    <mergeCell ref="E604:E606"/>
    <mergeCell ref="F604:F606"/>
    <mergeCell ref="A601:A603"/>
    <mergeCell ref="B601:B603"/>
    <mergeCell ref="C601:C603"/>
    <mergeCell ref="D601:D603"/>
    <mergeCell ref="E601:E603"/>
    <mergeCell ref="F601:F603"/>
    <mergeCell ref="A577:A579"/>
    <mergeCell ref="B577:B579"/>
    <mergeCell ref="C577:C579"/>
    <mergeCell ref="D577:D579"/>
    <mergeCell ref="E577:E579"/>
    <mergeCell ref="F577:F579"/>
    <mergeCell ref="A571:A573"/>
    <mergeCell ref="B571:B573"/>
    <mergeCell ref="C571:C573"/>
    <mergeCell ref="D571:D573"/>
    <mergeCell ref="E571:E573"/>
    <mergeCell ref="A574:A576"/>
    <mergeCell ref="B574:B576"/>
    <mergeCell ref="C574:C576"/>
    <mergeCell ref="D574:D576"/>
    <mergeCell ref="E574:E576"/>
    <mergeCell ref="A592:A594"/>
    <mergeCell ref="B592:B594"/>
    <mergeCell ref="C592:C594"/>
    <mergeCell ref="D592:D594"/>
    <mergeCell ref="E592:E594"/>
    <mergeCell ref="F592:F594"/>
    <mergeCell ref="A587:P587"/>
    <mergeCell ref="A589:A591"/>
    <mergeCell ref="B589:B591"/>
    <mergeCell ref="C589:C591"/>
    <mergeCell ref="D589:D591"/>
    <mergeCell ref="E589:E591"/>
    <mergeCell ref="F589:F591"/>
    <mergeCell ref="A559:A561"/>
    <mergeCell ref="B559:B561"/>
    <mergeCell ref="C559:C561"/>
    <mergeCell ref="D559:D561"/>
    <mergeCell ref="E559:E561"/>
    <mergeCell ref="A562:A564"/>
    <mergeCell ref="B562:B564"/>
    <mergeCell ref="C562:C564"/>
    <mergeCell ref="D562:D564"/>
    <mergeCell ref="E562:E564"/>
    <mergeCell ref="A565:A567"/>
    <mergeCell ref="B565:B567"/>
    <mergeCell ref="C565:C567"/>
    <mergeCell ref="D565:D567"/>
    <mergeCell ref="E565:E567"/>
    <mergeCell ref="A568:A570"/>
    <mergeCell ref="B568:B570"/>
    <mergeCell ref="C568:C570"/>
    <mergeCell ref="D568:D570"/>
    <mergeCell ref="E568:E570"/>
    <mergeCell ref="A547:A549"/>
    <mergeCell ref="B547:B549"/>
    <mergeCell ref="C547:C549"/>
    <mergeCell ref="D547:D549"/>
    <mergeCell ref="E547:E549"/>
    <mergeCell ref="A550:A552"/>
    <mergeCell ref="B550:B552"/>
    <mergeCell ref="C550:C552"/>
    <mergeCell ref="D550:D552"/>
    <mergeCell ref="E550:E552"/>
    <mergeCell ref="A553:A555"/>
    <mergeCell ref="B553:B555"/>
    <mergeCell ref="C553:C555"/>
    <mergeCell ref="D553:D555"/>
    <mergeCell ref="E553:E555"/>
    <mergeCell ref="A556:A558"/>
    <mergeCell ref="B556:B558"/>
    <mergeCell ref="C556:C558"/>
    <mergeCell ref="D556:D558"/>
    <mergeCell ref="E556:E558"/>
    <mergeCell ref="A535:A537"/>
    <mergeCell ref="B535:B537"/>
    <mergeCell ref="C535:C537"/>
    <mergeCell ref="D535:D537"/>
    <mergeCell ref="E535:E537"/>
    <mergeCell ref="A538:A540"/>
    <mergeCell ref="B538:B540"/>
    <mergeCell ref="C538:C540"/>
    <mergeCell ref="D538:D540"/>
    <mergeCell ref="E538:E540"/>
    <mergeCell ref="A541:A543"/>
    <mergeCell ref="B541:B543"/>
    <mergeCell ref="C541:C543"/>
    <mergeCell ref="D541:D543"/>
    <mergeCell ref="E541:E543"/>
    <mergeCell ref="A544:A546"/>
    <mergeCell ref="B544:B546"/>
    <mergeCell ref="C544:C546"/>
    <mergeCell ref="D544:D546"/>
    <mergeCell ref="E544:E546"/>
    <mergeCell ref="A523:A525"/>
    <mergeCell ref="B523:B525"/>
    <mergeCell ref="C523:C525"/>
    <mergeCell ref="D523:D525"/>
    <mergeCell ref="E523:E525"/>
    <mergeCell ref="A526:A528"/>
    <mergeCell ref="B526:B528"/>
    <mergeCell ref="C526:C528"/>
    <mergeCell ref="D526:D528"/>
    <mergeCell ref="E526:E528"/>
    <mergeCell ref="A529:A531"/>
    <mergeCell ref="B529:B531"/>
    <mergeCell ref="C529:C531"/>
    <mergeCell ref="D529:D531"/>
    <mergeCell ref="E529:E531"/>
    <mergeCell ref="A532:A534"/>
    <mergeCell ref="B532:B534"/>
    <mergeCell ref="C532:C534"/>
    <mergeCell ref="D532:D534"/>
    <mergeCell ref="E532:E534"/>
    <mergeCell ref="A511:A513"/>
    <mergeCell ref="B511:B513"/>
    <mergeCell ref="C511:C513"/>
    <mergeCell ref="D511:D513"/>
    <mergeCell ref="E511:E513"/>
    <mergeCell ref="A514:A516"/>
    <mergeCell ref="B514:B516"/>
    <mergeCell ref="C514:C516"/>
    <mergeCell ref="D514:D516"/>
    <mergeCell ref="E514:E516"/>
    <mergeCell ref="A517:A519"/>
    <mergeCell ref="B517:B519"/>
    <mergeCell ref="C517:C519"/>
    <mergeCell ref="D517:D519"/>
    <mergeCell ref="E517:E519"/>
    <mergeCell ref="A520:A522"/>
    <mergeCell ref="B520:B522"/>
    <mergeCell ref="C520:C522"/>
    <mergeCell ref="D520:D522"/>
    <mergeCell ref="E520:E522"/>
    <mergeCell ref="A499:A501"/>
    <mergeCell ref="B499:B501"/>
    <mergeCell ref="C499:C501"/>
    <mergeCell ref="D499:D501"/>
    <mergeCell ref="E499:E501"/>
    <mergeCell ref="A502:A504"/>
    <mergeCell ref="B502:B504"/>
    <mergeCell ref="C502:C504"/>
    <mergeCell ref="D502:D504"/>
    <mergeCell ref="E502:E504"/>
    <mergeCell ref="A505:A507"/>
    <mergeCell ref="B505:B507"/>
    <mergeCell ref="C505:C507"/>
    <mergeCell ref="D505:D507"/>
    <mergeCell ref="E505:E507"/>
    <mergeCell ref="A508:A510"/>
    <mergeCell ref="B508:B510"/>
    <mergeCell ref="C508:C510"/>
    <mergeCell ref="D508:D510"/>
    <mergeCell ref="E508:E510"/>
    <mergeCell ref="A487:A489"/>
    <mergeCell ref="B487:B489"/>
    <mergeCell ref="C487:C489"/>
    <mergeCell ref="D487:D489"/>
    <mergeCell ref="E487:E489"/>
    <mergeCell ref="A490:A492"/>
    <mergeCell ref="B490:B492"/>
    <mergeCell ref="C490:C492"/>
    <mergeCell ref="D490:D492"/>
    <mergeCell ref="E490:E492"/>
    <mergeCell ref="A493:A495"/>
    <mergeCell ref="B493:B495"/>
    <mergeCell ref="C493:C495"/>
    <mergeCell ref="D493:D495"/>
    <mergeCell ref="E493:E495"/>
    <mergeCell ref="A496:A498"/>
    <mergeCell ref="B496:B498"/>
    <mergeCell ref="C496:C498"/>
    <mergeCell ref="D496:D498"/>
    <mergeCell ref="E496:E498"/>
    <mergeCell ref="A475:A477"/>
    <mergeCell ref="B475:B477"/>
    <mergeCell ref="C475:C477"/>
    <mergeCell ref="D475:D477"/>
    <mergeCell ref="E475:E477"/>
    <mergeCell ref="A478:A480"/>
    <mergeCell ref="B478:B480"/>
    <mergeCell ref="C478:C480"/>
    <mergeCell ref="D478:D480"/>
    <mergeCell ref="E478:E480"/>
    <mergeCell ref="A481:A483"/>
    <mergeCell ref="B481:B483"/>
    <mergeCell ref="C481:C483"/>
    <mergeCell ref="D481:D483"/>
    <mergeCell ref="E481:E483"/>
    <mergeCell ref="A484:A486"/>
    <mergeCell ref="B484:B486"/>
    <mergeCell ref="C484:C486"/>
    <mergeCell ref="D484:D486"/>
    <mergeCell ref="E484:E486"/>
    <mergeCell ref="A463:A465"/>
    <mergeCell ref="B463:B465"/>
    <mergeCell ref="C463:C465"/>
    <mergeCell ref="D463:D465"/>
    <mergeCell ref="E463:E465"/>
    <mergeCell ref="A466:A468"/>
    <mergeCell ref="B466:B468"/>
    <mergeCell ref="C466:C468"/>
    <mergeCell ref="D466:D468"/>
    <mergeCell ref="E466:E468"/>
    <mergeCell ref="A469:A471"/>
    <mergeCell ref="B469:B471"/>
    <mergeCell ref="C469:C471"/>
    <mergeCell ref="D469:D471"/>
    <mergeCell ref="E469:E471"/>
    <mergeCell ref="A472:A474"/>
    <mergeCell ref="B472:B474"/>
    <mergeCell ref="C472:C474"/>
    <mergeCell ref="D472:D474"/>
    <mergeCell ref="E472:E474"/>
    <mergeCell ref="A451:A453"/>
    <mergeCell ref="B451:B453"/>
    <mergeCell ref="C451:C453"/>
    <mergeCell ref="D451:D453"/>
    <mergeCell ref="E451:E453"/>
    <mergeCell ref="A454:A456"/>
    <mergeCell ref="B454:B456"/>
    <mergeCell ref="C454:C456"/>
    <mergeCell ref="D454:D456"/>
    <mergeCell ref="E454:E456"/>
    <mergeCell ref="A457:A459"/>
    <mergeCell ref="B457:B459"/>
    <mergeCell ref="C457:C459"/>
    <mergeCell ref="D457:D459"/>
    <mergeCell ref="E457:E459"/>
    <mergeCell ref="A460:A462"/>
    <mergeCell ref="B460:B462"/>
    <mergeCell ref="C460:C462"/>
    <mergeCell ref="D460:D462"/>
    <mergeCell ref="E460:E462"/>
    <mergeCell ref="A439:A441"/>
    <mergeCell ref="B439:B441"/>
    <mergeCell ref="C439:C441"/>
    <mergeCell ref="D439:D441"/>
    <mergeCell ref="E439:E441"/>
    <mergeCell ref="A442:A444"/>
    <mergeCell ref="B442:B444"/>
    <mergeCell ref="C442:C444"/>
    <mergeCell ref="D442:D444"/>
    <mergeCell ref="E442:E444"/>
    <mergeCell ref="A445:A447"/>
    <mergeCell ref="B445:B447"/>
    <mergeCell ref="C445:C447"/>
    <mergeCell ref="D445:D447"/>
    <mergeCell ref="E445:E447"/>
    <mergeCell ref="A448:A450"/>
    <mergeCell ref="B448:B450"/>
    <mergeCell ref="C448:C450"/>
    <mergeCell ref="D448:D450"/>
    <mergeCell ref="E448:E450"/>
    <mergeCell ref="A427:A429"/>
    <mergeCell ref="B427:B429"/>
    <mergeCell ref="C427:C429"/>
    <mergeCell ref="D427:D429"/>
    <mergeCell ref="E427:E429"/>
    <mergeCell ref="A430:A432"/>
    <mergeCell ref="B430:B432"/>
    <mergeCell ref="C430:C432"/>
    <mergeCell ref="D430:D432"/>
    <mergeCell ref="E430:E432"/>
    <mergeCell ref="A433:A435"/>
    <mergeCell ref="B433:B435"/>
    <mergeCell ref="C433:C435"/>
    <mergeCell ref="D433:D435"/>
    <mergeCell ref="E433:E435"/>
    <mergeCell ref="A436:A438"/>
    <mergeCell ref="B436:B438"/>
    <mergeCell ref="C436:C438"/>
    <mergeCell ref="D436:D438"/>
    <mergeCell ref="E436:E438"/>
    <mergeCell ref="A415:A417"/>
    <mergeCell ref="B415:B417"/>
    <mergeCell ref="C415:C417"/>
    <mergeCell ref="D415:D417"/>
    <mergeCell ref="E415:E417"/>
    <mergeCell ref="A418:A420"/>
    <mergeCell ref="B418:B420"/>
    <mergeCell ref="C418:C420"/>
    <mergeCell ref="D418:D420"/>
    <mergeCell ref="E418:E420"/>
    <mergeCell ref="A421:A423"/>
    <mergeCell ref="B421:B423"/>
    <mergeCell ref="C421:C423"/>
    <mergeCell ref="D421:D423"/>
    <mergeCell ref="E421:E423"/>
    <mergeCell ref="A424:A426"/>
    <mergeCell ref="B424:B426"/>
    <mergeCell ref="C424:C426"/>
    <mergeCell ref="D424:D426"/>
    <mergeCell ref="E424:E426"/>
    <mergeCell ref="A403:A405"/>
    <mergeCell ref="B403:B405"/>
    <mergeCell ref="C403:C405"/>
    <mergeCell ref="D403:D405"/>
    <mergeCell ref="E403:E405"/>
    <mergeCell ref="A406:A408"/>
    <mergeCell ref="B406:B408"/>
    <mergeCell ref="C406:C408"/>
    <mergeCell ref="D406:D408"/>
    <mergeCell ref="E406:E408"/>
    <mergeCell ref="A409:A411"/>
    <mergeCell ref="B409:B411"/>
    <mergeCell ref="C409:C411"/>
    <mergeCell ref="D409:D411"/>
    <mergeCell ref="E409:E411"/>
    <mergeCell ref="A412:A414"/>
    <mergeCell ref="B412:B414"/>
    <mergeCell ref="C412:C414"/>
    <mergeCell ref="D412:D414"/>
    <mergeCell ref="E412:E414"/>
    <mergeCell ref="A391:A393"/>
    <mergeCell ref="B391:B393"/>
    <mergeCell ref="C391:C393"/>
    <mergeCell ref="D391:D393"/>
    <mergeCell ref="E391:E393"/>
    <mergeCell ref="A394:A396"/>
    <mergeCell ref="B394:B396"/>
    <mergeCell ref="C394:C396"/>
    <mergeCell ref="D394:D396"/>
    <mergeCell ref="E394:E396"/>
    <mergeCell ref="A397:A399"/>
    <mergeCell ref="B397:B399"/>
    <mergeCell ref="C397:C399"/>
    <mergeCell ref="D397:D399"/>
    <mergeCell ref="E397:E399"/>
    <mergeCell ref="A400:A402"/>
    <mergeCell ref="B400:B402"/>
    <mergeCell ref="C400:C402"/>
    <mergeCell ref="D400:D402"/>
    <mergeCell ref="E400:E402"/>
    <mergeCell ref="A379:A381"/>
    <mergeCell ref="B379:B381"/>
    <mergeCell ref="C379:C381"/>
    <mergeCell ref="D379:D381"/>
    <mergeCell ref="E379:E381"/>
    <mergeCell ref="A382:A384"/>
    <mergeCell ref="B382:B384"/>
    <mergeCell ref="C382:C384"/>
    <mergeCell ref="D382:D384"/>
    <mergeCell ref="E382:E384"/>
    <mergeCell ref="A385:A387"/>
    <mergeCell ref="B385:B387"/>
    <mergeCell ref="C385:C387"/>
    <mergeCell ref="D385:D387"/>
    <mergeCell ref="E385:E387"/>
    <mergeCell ref="A388:A390"/>
    <mergeCell ref="B388:B390"/>
    <mergeCell ref="C388:C390"/>
    <mergeCell ref="D388:D390"/>
    <mergeCell ref="E388:E390"/>
    <mergeCell ref="A367:A369"/>
    <mergeCell ref="B367:B369"/>
    <mergeCell ref="C367:C369"/>
    <mergeCell ref="D367:D369"/>
    <mergeCell ref="E367:E369"/>
    <mergeCell ref="A370:A372"/>
    <mergeCell ref="B370:B372"/>
    <mergeCell ref="C370:C372"/>
    <mergeCell ref="D370:D372"/>
    <mergeCell ref="E370:E372"/>
    <mergeCell ref="A373:A375"/>
    <mergeCell ref="B373:B375"/>
    <mergeCell ref="C373:C375"/>
    <mergeCell ref="D373:D375"/>
    <mergeCell ref="E373:E375"/>
    <mergeCell ref="A376:A378"/>
    <mergeCell ref="B376:B378"/>
    <mergeCell ref="C376:C378"/>
    <mergeCell ref="D376:D378"/>
    <mergeCell ref="E376:E378"/>
    <mergeCell ref="A355:A357"/>
    <mergeCell ref="B355:B357"/>
    <mergeCell ref="C355:C357"/>
    <mergeCell ref="D355:D357"/>
    <mergeCell ref="E355:E357"/>
    <mergeCell ref="A358:A360"/>
    <mergeCell ref="B358:B360"/>
    <mergeCell ref="C358:C360"/>
    <mergeCell ref="D358:D360"/>
    <mergeCell ref="E358:E360"/>
    <mergeCell ref="A361:A363"/>
    <mergeCell ref="B361:B363"/>
    <mergeCell ref="C361:C363"/>
    <mergeCell ref="D361:D363"/>
    <mergeCell ref="E361:E363"/>
    <mergeCell ref="A364:A366"/>
    <mergeCell ref="B364:B366"/>
    <mergeCell ref="C364:C366"/>
    <mergeCell ref="D364:D366"/>
    <mergeCell ref="E364:E366"/>
    <mergeCell ref="A343:A345"/>
    <mergeCell ref="B343:B345"/>
    <mergeCell ref="C343:C345"/>
    <mergeCell ref="D343:D345"/>
    <mergeCell ref="E343:E345"/>
    <mergeCell ref="A346:A348"/>
    <mergeCell ref="B346:B348"/>
    <mergeCell ref="C346:C348"/>
    <mergeCell ref="D346:D348"/>
    <mergeCell ref="E346:E348"/>
    <mergeCell ref="A349:A351"/>
    <mergeCell ref="B349:B351"/>
    <mergeCell ref="C349:C351"/>
    <mergeCell ref="D349:D351"/>
    <mergeCell ref="E349:E351"/>
    <mergeCell ref="A352:A354"/>
    <mergeCell ref="B352:B354"/>
    <mergeCell ref="C352:C354"/>
    <mergeCell ref="D352:D354"/>
    <mergeCell ref="E352:E354"/>
    <mergeCell ref="A331:A333"/>
    <mergeCell ref="B331:B333"/>
    <mergeCell ref="C331:C333"/>
    <mergeCell ref="D331:D333"/>
    <mergeCell ref="E331:E333"/>
    <mergeCell ref="A334:A336"/>
    <mergeCell ref="B334:B336"/>
    <mergeCell ref="C334:C336"/>
    <mergeCell ref="D334:D336"/>
    <mergeCell ref="E334:E336"/>
    <mergeCell ref="A337:A339"/>
    <mergeCell ref="B337:B339"/>
    <mergeCell ref="C337:C339"/>
    <mergeCell ref="D337:D339"/>
    <mergeCell ref="E337:E339"/>
    <mergeCell ref="A340:A342"/>
    <mergeCell ref="B340:B342"/>
    <mergeCell ref="C340:C342"/>
    <mergeCell ref="D340:D342"/>
    <mergeCell ref="E340:E342"/>
    <mergeCell ref="A319:A321"/>
    <mergeCell ref="B319:B321"/>
    <mergeCell ref="C319:C321"/>
    <mergeCell ref="D319:D321"/>
    <mergeCell ref="E319:E321"/>
    <mergeCell ref="A322:A324"/>
    <mergeCell ref="B322:B324"/>
    <mergeCell ref="C322:C324"/>
    <mergeCell ref="D322:D324"/>
    <mergeCell ref="E322:E324"/>
    <mergeCell ref="A325:A327"/>
    <mergeCell ref="B325:B327"/>
    <mergeCell ref="C325:C327"/>
    <mergeCell ref="D325:D327"/>
    <mergeCell ref="E325:E327"/>
    <mergeCell ref="A328:A330"/>
    <mergeCell ref="B328:B330"/>
    <mergeCell ref="C328:C330"/>
    <mergeCell ref="D328:D330"/>
    <mergeCell ref="E328:E330"/>
    <mergeCell ref="A307:A309"/>
    <mergeCell ref="B307:B309"/>
    <mergeCell ref="C307:C309"/>
    <mergeCell ref="D307:D309"/>
    <mergeCell ref="E307:E309"/>
    <mergeCell ref="A310:A312"/>
    <mergeCell ref="B310:B312"/>
    <mergeCell ref="C310:C312"/>
    <mergeCell ref="D310:D312"/>
    <mergeCell ref="E310:E312"/>
    <mergeCell ref="A313:A315"/>
    <mergeCell ref="B313:B315"/>
    <mergeCell ref="C313:C315"/>
    <mergeCell ref="D313:D315"/>
    <mergeCell ref="E313:E315"/>
    <mergeCell ref="A316:A318"/>
    <mergeCell ref="B316:B318"/>
    <mergeCell ref="C316:C318"/>
    <mergeCell ref="D316:D318"/>
    <mergeCell ref="E316:E318"/>
    <mergeCell ref="A295:A297"/>
    <mergeCell ref="B295:B297"/>
    <mergeCell ref="C295:C297"/>
    <mergeCell ref="D295:D297"/>
    <mergeCell ref="E295:E297"/>
    <mergeCell ref="A298:A300"/>
    <mergeCell ref="B298:B300"/>
    <mergeCell ref="C298:C300"/>
    <mergeCell ref="D298:D300"/>
    <mergeCell ref="E298:E300"/>
    <mergeCell ref="A301:A303"/>
    <mergeCell ref="B301:B303"/>
    <mergeCell ref="C301:C303"/>
    <mergeCell ref="D301:D303"/>
    <mergeCell ref="E301:E303"/>
    <mergeCell ref="A304:A306"/>
    <mergeCell ref="B304:B306"/>
    <mergeCell ref="C304:C306"/>
    <mergeCell ref="D304:D306"/>
    <mergeCell ref="E304:E306"/>
    <mergeCell ref="A283:A285"/>
    <mergeCell ref="B283:B285"/>
    <mergeCell ref="C283:C285"/>
    <mergeCell ref="D283:D285"/>
    <mergeCell ref="E283:E285"/>
    <mergeCell ref="A286:A288"/>
    <mergeCell ref="B286:B288"/>
    <mergeCell ref="C286:C288"/>
    <mergeCell ref="D286:D288"/>
    <mergeCell ref="E286:E288"/>
    <mergeCell ref="A289:A291"/>
    <mergeCell ref="B289:B291"/>
    <mergeCell ref="C289:C291"/>
    <mergeCell ref="D289:D291"/>
    <mergeCell ref="E289:E291"/>
    <mergeCell ref="A292:A294"/>
    <mergeCell ref="B292:B294"/>
    <mergeCell ref="C292:C294"/>
    <mergeCell ref="D292:D294"/>
    <mergeCell ref="E292:E294"/>
    <mergeCell ref="A271:A273"/>
    <mergeCell ref="B271:B273"/>
    <mergeCell ref="C271:C273"/>
    <mergeCell ref="D271:D273"/>
    <mergeCell ref="E271:E273"/>
    <mergeCell ref="A274:A276"/>
    <mergeCell ref="B274:B276"/>
    <mergeCell ref="C274:C276"/>
    <mergeCell ref="D274:D276"/>
    <mergeCell ref="E274:E276"/>
    <mergeCell ref="A277:A279"/>
    <mergeCell ref="B277:B279"/>
    <mergeCell ref="C277:C279"/>
    <mergeCell ref="D277:D279"/>
    <mergeCell ref="E277:E279"/>
    <mergeCell ref="A280:A282"/>
    <mergeCell ref="B280:B282"/>
    <mergeCell ref="C280:C282"/>
    <mergeCell ref="D280:D282"/>
    <mergeCell ref="E280:E282"/>
    <mergeCell ref="A259:A261"/>
    <mergeCell ref="B259:B261"/>
    <mergeCell ref="C259:C261"/>
    <mergeCell ref="D259:D261"/>
    <mergeCell ref="E259:E261"/>
    <mergeCell ref="A262:A264"/>
    <mergeCell ref="B262:B264"/>
    <mergeCell ref="C262:C264"/>
    <mergeCell ref="D262:D264"/>
    <mergeCell ref="E262:E264"/>
    <mergeCell ref="A265:A267"/>
    <mergeCell ref="B265:B267"/>
    <mergeCell ref="C265:C267"/>
    <mergeCell ref="D265:D267"/>
    <mergeCell ref="E265:E267"/>
    <mergeCell ref="A268:A270"/>
    <mergeCell ref="B268:B270"/>
    <mergeCell ref="C268:C270"/>
    <mergeCell ref="D268:D270"/>
    <mergeCell ref="E268:E270"/>
    <mergeCell ref="A247:A249"/>
    <mergeCell ref="B247:B249"/>
    <mergeCell ref="C247:C249"/>
    <mergeCell ref="D247:D249"/>
    <mergeCell ref="E247:E249"/>
    <mergeCell ref="A250:A252"/>
    <mergeCell ref="B250:B252"/>
    <mergeCell ref="C250:C252"/>
    <mergeCell ref="D250:D252"/>
    <mergeCell ref="E250:E252"/>
    <mergeCell ref="A253:A255"/>
    <mergeCell ref="B253:B255"/>
    <mergeCell ref="C253:C255"/>
    <mergeCell ref="D253:D255"/>
    <mergeCell ref="E253:E255"/>
    <mergeCell ref="A256:A258"/>
    <mergeCell ref="B256:B258"/>
    <mergeCell ref="C256:C258"/>
    <mergeCell ref="D256:D258"/>
    <mergeCell ref="E256:E258"/>
    <mergeCell ref="A235:A237"/>
    <mergeCell ref="B235:B237"/>
    <mergeCell ref="C235:C237"/>
    <mergeCell ref="D235:D237"/>
    <mergeCell ref="E235:E237"/>
    <mergeCell ref="A238:A240"/>
    <mergeCell ref="B238:B240"/>
    <mergeCell ref="C238:C240"/>
    <mergeCell ref="D238:D240"/>
    <mergeCell ref="E238:E240"/>
    <mergeCell ref="A241:A243"/>
    <mergeCell ref="B241:B243"/>
    <mergeCell ref="C241:C243"/>
    <mergeCell ref="D241:D243"/>
    <mergeCell ref="E241:E243"/>
    <mergeCell ref="A244:A246"/>
    <mergeCell ref="B244:B246"/>
    <mergeCell ref="C244:C246"/>
    <mergeCell ref="D244:D246"/>
    <mergeCell ref="E244:E246"/>
    <mergeCell ref="A223:A225"/>
    <mergeCell ref="B223:B225"/>
    <mergeCell ref="C223:C225"/>
    <mergeCell ref="D223:D225"/>
    <mergeCell ref="E223:E225"/>
    <mergeCell ref="A226:A228"/>
    <mergeCell ref="B226:B228"/>
    <mergeCell ref="C226:C228"/>
    <mergeCell ref="D226:D228"/>
    <mergeCell ref="E226:E228"/>
    <mergeCell ref="A229:A231"/>
    <mergeCell ref="B229:B231"/>
    <mergeCell ref="C229:C231"/>
    <mergeCell ref="D229:D231"/>
    <mergeCell ref="E229:E231"/>
    <mergeCell ref="A232:A234"/>
    <mergeCell ref="B232:B234"/>
    <mergeCell ref="C232:C234"/>
    <mergeCell ref="D232:D234"/>
    <mergeCell ref="E232:E234"/>
    <mergeCell ref="A211:A213"/>
    <mergeCell ref="B211:B213"/>
    <mergeCell ref="C211:C213"/>
    <mergeCell ref="D211:D213"/>
    <mergeCell ref="E211:E213"/>
    <mergeCell ref="A214:A216"/>
    <mergeCell ref="B214:B216"/>
    <mergeCell ref="C214:C216"/>
    <mergeCell ref="D214:D216"/>
    <mergeCell ref="E214:E216"/>
    <mergeCell ref="A217:A219"/>
    <mergeCell ref="B217:B219"/>
    <mergeCell ref="C217:C219"/>
    <mergeCell ref="D217:D219"/>
    <mergeCell ref="E217:E219"/>
    <mergeCell ref="A220:A222"/>
    <mergeCell ref="B220:B222"/>
    <mergeCell ref="C220:C222"/>
    <mergeCell ref="D220:D222"/>
    <mergeCell ref="E220:E222"/>
    <mergeCell ref="A199:A201"/>
    <mergeCell ref="B199:B201"/>
    <mergeCell ref="C199:C201"/>
    <mergeCell ref="D199:D201"/>
    <mergeCell ref="E199:E201"/>
    <mergeCell ref="A202:A204"/>
    <mergeCell ref="B202:B204"/>
    <mergeCell ref="C202:C204"/>
    <mergeCell ref="D202:D204"/>
    <mergeCell ref="E202:E204"/>
    <mergeCell ref="A205:A207"/>
    <mergeCell ref="B205:B207"/>
    <mergeCell ref="C205:C207"/>
    <mergeCell ref="D205:D207"/>
    <mergeCell ref="E205:E207"/>
    <mergeCell ref="A208:A210"/>
    <mergeCell ref="B208:B210"/>
    <mergeCell ref="C208:C210"/>
    <mergeCell ref="D208:D210"/>
    <mergeCell ref="E208:E210"/>
    <mergeCell ref="A187:A189"/>
    <mergeCell ref="B187:B189"/>
    <mergeCell ref="C187:C189"/>
    <mergeCell ref="D187:D189"/>
    <mergeCell ref="E187:E189"/>
    <mergeCell ref="A190:A192"/>
    <mergeCell ref="B190:B192"/>
    <mergeCell ref="C190:C192"/>
    <mergeCell ref="D190:D192"/>
    <mergeCell ref="E190:E192"/>
    <mergeCell ref="A193:A195"/>
    <mergeCell ref="B193:B195"/>
    <mergeCell ref="C193:C195"/>
    <mergeCell ref="D193:D195"/>
    <mergeCell ref="E193:E195"/>
    <mergeCell ref="A196:A198"/>
    <mergeCell ref="B196:B198"/>
    <mergeCell ref="C196:C198"/>
    <mergeCell ref="D196:D198"/>
    <mergeCell ref="E196:E198"/>
    <mergeCell ref="A175:A177"/>
    <mergeCell ref="B175:B177"/>
    <mergeCell ref="C175:C177"/>
    <mergeCell ref="D175:D177"/>
    <mergeCell ref="E175:E177"/>
    <mergeCell ref="A178:A180"/>
    <mergeCell ref="B178:B180"/>
    <mergeCell ref="C178:C180"/>
    <mergeCell ref="D178:D180"/>
    <mergeCell ref="E178:E180"/>
    <mergeCell ref="A181:A183"/>
    <mergeCell ref="B181:B183"/>
    <mergeCell ref="C181:C183"/>
    <mergeCell ref="D181:D183"/>
    <mergeCell ref="E181:E183"/>
    <mergeCell ref="A184:A186"/>
    <mergeCell ref="B184:B186"/>
    <mergeCell ref="C184:C186"/>
    <mergeCell ref="D184:D186"/>
    <mergeCell ref="E184:E186"/>
    <mergeCell ref="A163:A165"/>
    <mergeCell ref="B163:B165"/>
    <mergeCell ref="C163:C165"/>
    <mergeCell ref="D163:D165"/>
    <mergeCell ref="E163:E165"/>
    <mergeCell ref="A166:A168"/>
    <mergeCell ref="B166:B168"/>
    <mergeCell ref="C166:C168"/>
    <mergeCell ref="D166:D168"/>
    <mergeCell ref="E166:E168"/>
    <mergeCell ref="A169:A171"/>
    <mergeCell ref="B169:B171"/>
    <mergeCell ref="C169:C171"/>
    <mergeCell ref="D169:D171"/>
    <mergeCell ref="E169:E171"/>
    <mergeCell ref="A172:A174"/>
    <mergeCell ref="B172:B174"/>
    <mergeCell ref="C172:C174"/>
    <mergeCell ref="D172:D174"/>
    <mergeCell ref="E172:E174"/>
    <mergeCell ref="A151:A153"/>
    <mergeCell ref="B151:B153"/>
    <mergeCell ref="C151:C153"/>
    <mergeCell ref="D151:D153"/>
    <mergeCell ref="E151:E153"/>
    <mergeCell ref="A154:A156"/>
    <mergeCell ref="B154:B156"/>
    <mergeCell ref="C154:C156"/>
    <mergeCell ref="D154:D156"/>
    <mergeCell ref="E154:E156"/>
    <mergeCell ref="A157:A159"/>
    <mergeCell ref="B157:B159"/>
    <mergeCell ref="C157:C159"/>
    <mergeCell ref="D157:D159"/>
    <mergeCell ref="E157:E159"/>
    <mergeCell ref="A160:A162"/>
    <mergeCell ref="B160:B162"/>
    <mergeCell ref="C160:C162"/>
    <mergeCell ref="D160:D162"/>
    <mergeCell ref="E160:E162"/>
    <mergeCell ref="A139:A141"/>
    <mergeCell ref="B139:B141"/>
    <mergeCell ref="C139:C141"/>
    <mergeCell ref="D139:D141"/>
    <mergeCell ref="E139:E141"/>
    <mergeCell ref="A142:A144"/>
    <mergeCell ref="B142:B144"/>
    <mergeCell ref="C142:C144"/>
    <mergeCell ref="D142:D144"/>
    <mergeCell ref="E142:E144"/>
    <mergeCell ref="A145:A147"/>
    <mergeCell ref="B145:B147"/>
    <mergeCell ref="C145:C147"/>
    <mergeCell ref="D145:D147"/>
    <mergeCell ref="E145:E147"/>
    <mergeCell ref="A148:A150"/>
    <mergeCell ref="B148:B150"/>
    <mergeCell ref="C148:C150"/>
    <mergeCell ref="D148:D150"/>
    <mergeCell ref="E148:E150"/>
    <mergeCell ref="A127:A129"/>
    <mergeCell ref="B127:B129"/>
    <mergeCell ref="C127:C129"/>
    <mergeCell ref="D127:D129"/>
    <mergeCell ref="E127:E129"/>
    <mergeCell ref="A130:A132"/>
    <mergeCell ref="B130:B132"/>
    <mergeCell ref="C130:C132"/>
    <mergeCell ref="D130:D132"/>
    <mergeCell ref="E130:E132"/>
    <mergeCell ref="A133:A135"/>
    <mergeCell ref="B133:B135"/>
    <mergeCell ref="C133:C135"/>
    <mergeCell ref="D133:D135"/>
    <mergeCell ref="E133:E135"/>
    <mergeCell ref="A136:A138"/>
    <mergeCell ref="B136:B138"/>
    <mergeCell ref="C136:C138"/>
    <mergeCell ref="D136:D138"/>
    <mergeCell ref="E136:E138"/>
    <mergeCell ref="A115:A117"/>
    <mergeCell ref="B115:B117"/>
    <mergeCell ref="C115:C117"/>
    <mergeCell ref="D115:D117"/>
    <mergeCell ref="E115:E117"/>
    <mergeCell ref="A118:A120"/>
    <mergeCell ref="B118:B120"/>
    <mergeCell ref="C118:C120"/>
    <mergeCell ref="D118:D120"/>
    <mergeCell ref="E118:E120"/>
    <mergeCell ref="A121:A123"/>
    <mergeCell ref="B121:B123"/>
    <mergeCell ref="C121:C123"/>
    <mergeCell ref="D121:D123"/>
    <mergeCell ref="E121:E123"/>
    <mergeCell ref="A124:A126"/>
    <mergeCell ref="B124:B126"/>
    <mergeCell ref="C124:C126"/>
    <mergeCell ref="D124:D126"/>
    <mergeCell ref="E124:E126"/>
    <mergeCell ref="A103:A105"/>
    <mergeCell ref="B103:B105"/>
    <mergeCell ref="C103:C105"/>
    <mergeCell ref="D103:D105"/>
    <mergeCell ref="E103:E105"/>
    <mergeCell ref="A106:A108"/>
    <mergeCell ref="B106:B108"/>
    <mergeCell ref="C106:C108"/>
    <mergeCell ref="D106:D108"/>
    <mergeCell ref="E106:E108"/>
    <mergeCell ref="A109:A111"/>
    <mergeCell ref="B109:B111"/>
    <mergeCell ref="C109:C111"/>
    <mergeCell ref="D109:D111"/>
    <mergeCell ref="E109:E111"/>
    <mergeCell ref="A112:A114"/>
    <mergeCell ref="B112:B114"/>
    <mergeCell ref="C112:C114"/>
    <mergeCell ref="D112:D114"/>
    <mergeCell ref="E112:E114"/>
    <mergeCell ref="A91:A93"/>
    <mergeCell ref="B91:B93"/>
    <mergeCell ref="C91:C93"/>
    <mergeCell ref="D91:D93"/>
    <mergeCell ref="E91:E93"/>
    <mergeCell ref="A94:A96"/>
    <mergeCell ref="B94:B96"/>
    <mergeCell ref="C94:C96"/>
    <mergeCell ref="D94:D96"/>
    <mergeCell ref="E94:E96"/>
    <mergeCell ref="A97:A99"/>
    <mergeCell ref="B97:B99"/>
    <mergeCell ref="C97:C99"/>
    <mergeCell ref="D97:D99"/>
    <mergeCell ref="E97:E99"/>
    <mergeCell ref="A100:A102"/>
    <mergeCell ref="B100:B102"/>
    <mergeCell ref="C100:C102"/>
    <mergeCell ref="D100:D102"/>
    <mergeCell ref="E100:E102"/>
    <mergeCell ref="A79:A81"/>
    <mergeCell ref="B79:B81"/>
    <mergeCell ref="C79:C81"/>
    <mergeCell ref="D79:D81"/>
    <mergeCell ref="E79:E81"/>
    <mergeCell ref="A82:A84"/>
    <mergeCell ref="B82:B84"/>
    <mergeCell ref="C82:C84"/>
    <mergeCell ref="D82:D84"/>
    <mergeCell ref="E82:E84"/>
    <mergeCell ref="A85:A87"/>
    <mergeCell ref="B85:B87"/>
    <mergeCell ref="C85:C87"/>
    <mergeCell ref="D85:D87"/>
    <mergeCell ref="E85:E87"/>
    <mergeCell ref="A88:A90"/>
    <mergeCell ref="B88:B90"/>
    <mergeCell ref="C88:C90"/>
    <mergeCell ref="D88:D90"/>
    <mergeCell ref="E88:E90"/>
    <mergeCell ref="A67:A69"/>
    <mergeCell ref="B67:B69"/>
    <mergeCell ref="C67:C69"/>
    <mergeCell ref="D67:D69"/>
    <mergeCell ref="E67:E69"/>
    <mergeCell ref="A70:A72"/>
    <mergeCell ref="B70:B72"/>
    <mergeCell ref="C70:C72"/>
    <mergeCell ref="D70:D72"/>
    <mergeCell ref="E70:E72"/>
    <mergeCell ref="A73:A75"/>
    <mergeCell ref="B73:B75"/>
    <mergeCell ref="C73:C75"/>
    <mergeCell ref="D73:D75"/>
    <mergeCell ref="E73:E75"/>
    <mergeCell ref="A76:A78"/>
    <mergeCell ref="B76:B78"/>
    <mergeCell ref="C76:C78"/>
    <mergeCell ref="D76:D78"/>
    <mergeCell ref="E76:E78"/>
    <mergeCell ref="A55:A57"/>
    <mergeCell ref="B55:B57"/>
    <mergeCell ref="C55:C57"/>
    <mergeCell ref="D55:D57"/>
    <mergeCell ref="E55:E57"/>
    <mergeCell ref="A58:A60"/>
    <mergeCell ref="B58:B60"/>
    <mergeCell ref="C58:C60"/>
    <mergeCell ref="D58:D60"/>
    <mergeCell ref="E58:E60"/>
    <mergeCell ref="A61:A63"/>
    <mergeCell ref="B61:B63"/>
    <mergeCell ref="C61:C63"/>
    <mergeCell ref="D61:D63"/>
    <mergeCell ref="E61:E63"/>
    <mergeCell ref="A64:A66"/>
    <mergeCell ref="B64:B66"/>
    <mergeCell ref="C64:C66"/>
    <mergeCell ref="D64:D66"/>
    <mergeCell ref="E64:E66"/>
    <mergeCell ref="A43:A45"/>
    <mergeCell ref="B43:B45"/>
    <mergeCell ref="C43:C45"/>
    <mergeCell ref="D43:D45"/>
    <mergeCell ref="E43:E45"/>
    <mergeCell ref="A46:A48"/>
    <mergeCell ref="B46:B48"/>
    <mergeCell ref="C46:C48"/>
    <mergeCell ref="D46:D48"/>
    <mergeCell ref="E46:E48"/>
    <mergeCell ref="A49:A51"/>
    <mergeCell ref="B49:B51"/>
    <mergeCell ref="C49:C51"/>
    <mergeCell ref="D49:D51"/>
    <mergeCell ref="E49:E51"/>
    <mergeCell ref="A52:A54"/>
    <mergeCell ref="B52:B54"/>
    <mergeCell ref="C52:C54"/>
    <mergeCell ref="D52:D54"/>
    <mergeCell ref="E52:E54"/>
    <mergeCell ref="A31:A33"/>
    <mergeCell ref="B31:B33"/>
    <mergeCell ref="C31:C33"/>
    <mergeCell ref="D31:D33"/>
    <mergeCell ref="E31:E33"/>
    <mergeCell ref="A34:A36"/>
    <mergeCell ref="B34:B36"/>
    <mergeCell ref="C34:C36"/>
    <mergeCell ref="D34:D36"/>
    <mergeCell ref="E34:E36"/>
    <mergeCell ref="A37:A39"/>
    <mergeCell ref="B37:B39"/>
    <mergeCell ref="C37:C39"/>
    <mergeCell ref="D37:D39"/>
    <mergeCell ref="E37:E39"/>
    <mergeCell ref="A40:A42"/>
    <mergeCell ref="B40:B42"/>
    <mergeCell ref="C40:C42"/>
    <mergeCell ref="D40:D42"/>
    <mergeCell ref="E40:E42"/>
    <mergeCell ref="A19:A21"/>
    <mergeCell ref="B19:B21"/>
    <mergeCell ref="C19:C21"/>
    <mergeCell ref="D19:D21"/>
    <mergeCell ref="E19:E21"/>
    <mergeCell ref="A22:A24"/>
    <mergeCell ref="B22:B24"/>
    <mergeCell ref="C22:C24"/>
    <mergeCell ref="D22:D24"/>
    <mergeCell ref="E22:E24"/>
    <mergeCell ref="A25:A27"/>
    <mergeCell ref="B25:B27"/>
    <mergeCell ref="C25:C27"/>
    <mergeCell ref="D25:D27"/>
    <mergeCell ref="E25:E27"/>
    <mergeCell ref="A28:A30"/>
    <mergeCell ref="B28:B30"/>
    <mergeCell ref="C28:C30"/>
    <mergeCell ref="D28:D30"/>
    <mergeCell ref="E28:E30"/>
    <mergeCell ref="H1:P1"/>
    <mergeCell ref="H2:P2"/>
    <mergeCell ref="H3:P3"/>
    <mergeCell ref="H4:P4"/>
    <mergeCell ref="C6:P6"/>
    <mergeCell ref="A10:A12"/>
    <mergeCell ref="B10:B12"/>
    <mergeCell ref="C10:C12"/>
    <mergeCell ref="D10:D12"/>
    <mergeCell ref="E10:E12"/>
    <mergeCell ref="F10:F12"/>
    <mergeCell ref="A13:A15"/>
    <mergeCell ref="B13:B15"/>
    <mergeCell ref="C13:C15"/>
    <mergeCell ref="D13:D15"/>
    <mergeCell ref="E13:E15"/>
    <mergeCell ref="A16:A18"/>
    <mergeCell ref="B16:B18"/>
    <mergeCell ref="C16:C18"/>
    <mergeCell ref="D16:D18"/>
    <mergeCell ref="E16:E18"/>
  </mergeCells>
  <pageMargins left="0.82677165354330706" right="0.82677165354330706" top="1.2992125984251968" bottom="1.0236220472440944" header="0.31496062992125984" footer="0.31496062992125984"/>
  <pageSetup paperSize="9" scale="60" fitToHeight="2" orientation="landscape" r:id="rId1"/>
  <rowBreaks count="7" manualBreakCount="7">
    <brk id="42" max="16383" man="1"/>
    <brk id="174" max="16383" man="1"/>
    <brk id="264" max="16383" man="1"/>
    <brk id="348" max="16383" man="1"/>
    <brk id="393" max="16383" man="1"/>
    <brk id="438" max="16383" man="1"/>
    <brk id="48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Lidija Bērziņa</cp:lastModifiedBy>
  <cp:lastPrinted>2026-04-22T07:48:04Z</cp:lastPrinted>
  <dcterms:created xsi:type="dcterms:W3CDTF">2026-04-22T07:35:14Z</dcterms:created>
  <dcterms:modified xsi:type="dcterms:W3CDTF">2026-05-06T06:44:10Z</dcterms:modified>
</cp:coreProperties>
</file>