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tabRatio="761" activeTab="7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  <sheet name="8.pielikums" sheetId="8" r:id="rId8"/>
  </sheets>
  <definedNames>
    <definedName name="_xlnm.Print_Area" localSheetId="4">'5.pielikums'!$A$1:$X$260</definedName>
    <definedName name="_xlnm.Print_Titles" localSheetId="0">'1.pielikums'!$8:$8</definedName>
    <definedName name="_xlnm.Print_Titles" localSheetId="2">'3.pielikums'!$7:$8</definedName>
    <definedName name="_xlnm.Print_Titles" localSheetId="3">'4.pielikums'!$7:$7</definedName>
    <definedName name="_xlnm.Print_Titles" localSheetId="4">'5.pielikums'!$A:$A,'5.pielikums'!$5:$6</definedName>
  </definedNames>
  <calcPr fullCalcOnLoad="1"/>
</workbook>
</file>

<file path=xl/sharedStrings.xml><?xml version="1.0" encoding="utf-8"?>
<sst xmlns="http://schemas.openxmlformats.org/spreadsheetml/2006/main" count="1899" uniqueCount="1066">
  <si>
    <t>1. pielikums</t>
  </si>
  <si>
    <t xml:space="preserve">           Pamatbudžeta ieņēmumi</t>
  </si>
  <si>
    <t xml:space="preserve">Klasifikā-cijas kods </t>
  </si>
  <si>
    <t>Radītāju nosaukums</t>
  </si>
  <si>
    <t xml:space="preserve"> I.  IEŅĒMUMI KOPĀ (1+2+3+4)</t>
  </si>
  <si>
    <t xml:space="preserve">1. Nodokļu ieņēmumi </t>
  </si>
  <si>
    <t>01.110.</t>
  </si>
  <si>
    <t xml:space="preserve">Iedzīvotāju ienākuma nodoklis </t>
  </si>
  <si>
    <t>01.112.</t>
  </si>
  <si>
    <t>Pašvaldības budžeta ieņēmumos saņemtais iedzīvotāju ienākuma nodoklis no Valsts kases sadales konta</t>
  </si>
  <si>
    <t>04.100.</t>
  </si>
  <si>
    <t xml:space="preserve">Nekustamā īpašuma nodoklis </t>
  </si>
  <si>
    <t>04.110.</t>
  </si>
  <si>
    <t xml:space="preserve">Nekustamā īpašuma nodoklis par zemi </t>
  </si>
  <si>
    <t>04.120.</t>
  </si>
  <si>
    <t xml:space="preserve">Nekustamā īpašuma nodoklis par ēkām  </t>
  </si>
  <si>
    <t>04.130.</t>
  </si>
  <si>
    <t>Nekustamā īpašuma nodoklis par mājokļiem</t>
  </si>
  <si>
    <t>05.000.</t>
  </si>
  <si>
    <t>Nodokļi par pakalpojumiem un precēm</t>
  </si>
  <si>
    <t>05.410.</t>
  </si>
  <si>
    <t>Azartspēļu nodoklis</t>
  </si>
  <si>
    <t>05.530.</t>
  </si>
  <si>
    <t>Dabas resursu nodoklis</t>
  </si>
  <si>
    <t xml:space="preserve">2. Nenodokļu ieņēmumi </t>
  </si>
  <si>
    <t>09.000.</t>
  </si>
  <si>
    <t xml:space="preserve">Valsts (pašvaldību) nodevas un kancelejas nodevas 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</si>
  <si>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</si>
  <si>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</si>
  <si>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</si>
  <si>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</si>
  <si>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</si>
  <si>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</si>
  <si>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</si>
  <si>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</si>
  <si>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</si>
  <si>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</si>
  <si>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</si>
  <si>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</si>
  <si>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</si>
  <si>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</si>
  <si>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</si>
  <si>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</si>
  <si>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</si>
  <si>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</si>
  <si>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</si>
  <si>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</si>
  <si>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</si>
  <si>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</si>
  <si>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</si>
  <si>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</si>
  <si>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</si>
  <si>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</si>
  <si>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</si>
  <si>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</si>
  <si>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</si>
  <si>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</si>
  <si>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</si>
  <si>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</si>
  <si>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</si>
  <si>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</si>
  <si>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</si>
  <si>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</si>
  <si>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12.349.</t>
  </si>
  <si>
    <t xml:space="preserve">Ieņēmumi no budžeta iestādēm atmaksātiem pārējiem debitoru parādiem </t>
  </si>
  <si>
    <t>13.000.</t>
  </si>
  <si>
    <t xml:space="preserve">Ieņēmumi no valsts (pašvaldību) īpašuma iznomāšanas, pārdošanas un no nodokļu pamatparāda kapitalizācijas </t>
  </si>
  <si>
    <t>13.100.</t>
  </si>
  <si>
    <t>Ieņēmumi no ēku un būvju īpašuma pārdošanas</t>
  </si>
  <si>
    <t>13.210.</t>
  </si>
  <si>
    <t>Ieņēmumi no zemes īpašuma pārdošanas</t>
  </si>
  <si>
    <t>3. Transferti</t>
  </si>
  <si>
    <t>17.000.</t>
  </si>
  <si>
    <t xml:space="preserve">No valsts budžeta daļēji finansēto atvasinātu publisku personu un budžeta nefinansētu iestāžu transferti 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</si>
  <si>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</si>
  <si>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</si>
  <si>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</si>
  <si>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</si>
  <si>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</si>
  <si>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</si>
  <si>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</si>
  <si>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</si>
  <si>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</si>
  <si>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</si>
  <si>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</si>
  <si>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</si>
  <si>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</si>
  <si>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</si>
  <si>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</si>
  <si>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</si>
  <si>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</si>
  <si>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</si>
  <si>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 xml:space="preserve">Iestādes ieņēmumi </t>
  </si>
  <si>
    <t>21.100.</t>
  </si>
  <si>
    <t>Iestādes ieņēmumi no ārvalstu finanšu palīdzības</t>
  </si>
  <si>
    <t>21.191.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</si>
  <si>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</si>
  <si>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21.194.</t>
  </si>
  <si>
    <t>Ieņēmumi no vadošā partnera partneru grupas īstenotajiem ārvalstu finanšu palīdzības projektiem</t>
  </si>
  <si>
    <t>21.300.</t>
  </si>
  <si>
    <t xml:space="preserve">Ieņēmumi no iestāžu sniegtajiem maksas pakalpojumiem un citi pašu ieņēmumi 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</si>
  <si>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</si>
  <si>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</si>
  <si>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</si>
  <si>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</si>
  <si>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</si>
  <si>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</si>
  <si>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</si>
  <si>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</si>
  <si>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</si>
  <si>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</si>
  <si>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</si>
  <si>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</si>
  <si>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21.381.</t>
  </si>
  <si>
    <t>Ieņēmumi par nedzīvojamā nekustamā īpašuma nomu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</si>
  <si>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</si>
  <si>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</si>
  <si>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</si>
  <si>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</si>
  <si>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</si>
  <si>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</si>
  <si>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</si>
  <si>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</si>
  <si>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</si>
  <si>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</si>
  <si>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</si>
  <si>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</si>
  <si>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21.394.</t>
  </si>
  <si>
    <t>Ieņēmumi par komunālajiem pakalpojumiem</t>
  </si>
  <si>
    <t>21.395.</t>
  </si>
  <si>
    <t>Ieņēmumi par projektu īstenošanu</t>
  </si>
  <si>
    <t>21.399.</t>
  </si>
  <si>
    <t>Citi ieņēmumi par maksas pakalpojumiem</t>
  </si>
  <si>
    <t>21.400.</t>
  </si>
  <si>
    <t>Pārējie  21.300 grupā neklasificētie iestāžu ieņēmumi par iestāžu sniegtajiem maksas pakalpojumiem un citi pašu ieņēmumi</t>
  </si>
  <si>
    <t>21.490.</t>
  </si>
  <si>
    <t>Citi iepriekš neklasificētie pašu ieņēmumi</t>
  </si>
  <si>
    <t>II. FINANSĒŠANA</t>
  </si>
  <si>
    <t>F22010000</t>
  </si>
  <si>
    <t>Naudas līdzekļi uz perioda sākumu</t>
  </si>
  <si>
    <t>F40020000</t>
  </si>
  <si>
    <t>Aizņēmumi</t>
  </si>
  <si>
    <t>PAVISAM RESURSI (I+II)</t>
  </si>
  <si>
    <t xml:space="preserve">           Pamatbudžeta izdevumi, EUR</t>
  </si>
  <si>
    <t>Valdības funkcija</t>
  </si>
  <si>
    <t>Resursi izdevumu segšanai</t>
  </si>
  <si>
    <t>Dotācija no vispārējiem ieņēmumiem</t>
  </si>
  <si>
    <t>Budžeta iestāžu ieņēmumi</t>
  </si>
  <si>
    <t>Pašvaldību budžeta transferti</t>
  </si>
  <si>
    <t xml:space="preserve">I. Izdevumi atbilstoši funkcionālajām kategorijām 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</si>
  <si>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</si>
  <si>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</si>
  <si>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</si>
  <si>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</si>
  <si>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</si>
  <si>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</si>
  <si>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</si>
  <si>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</si>
  <si>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</si>
  <si>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</si>
  <si>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</si>
  <si>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</si>
  <si>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</si>
  <si>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</si>
  <si>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</si>
  <si>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</si>
  <si>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</si>
  <si>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</si>
  <si>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</si>
  <si>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</si>
  <si>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1"</t>
  </si>
  <si>
    <t>SIA "Jelgavas ūdens"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</si>
  <si>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</si>
  <si>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</si>
  <si>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</si>
  <si>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</si>
  <si>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</si>
  <si>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 pielikums</t>
  </si>
  <si>
    <t xml:space="preserve">           Pamatbudžeta izdevumu atšifrējums pa programmām, EUR </t>
  </si>
  <si>
    <t xml:space="preserve">Klasifik. kods </t>
  </si>
  <si>
    <t xml:space="preserve"> Valsts budžeta transferti </t>
  </si>
  <si>
    <t>Izpildvaras un likumdošanas varas institūcijas</t>
  </si>
  <si>
    <t>01.111.</t>
  </si>
  <si>
    <t>01.113.</t>
  </si>
  <si>
    <t>Projekts "Komunikācija ar sabiedrību tās iesaistei pašvaldību lēmumu pieņemšanā"</t>
  </si>
  <si>
    <t>01.120.</t>
  </si>
  <si>
    <t xml:space="preserve">Finanšu un fiskālā darbība </t>
  </si>
  <si>
    <t>01.122.</t>
  </si>
  <si>
    <t>01.123.</t>
  </si>
  <si>
    <t>01.124.</t>
  </si>
  <si>
    <t>Zvērināto auditoru pakalpojumi un grāmatvedības programmu uzturēšana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</si>
  <si>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</si>
  <si>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</si>
  <si>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</si>
  <si>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</si>
  <si>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</si>
  <si>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</si>
  <si>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</si>
  <si>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</si>
  <si>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</si>
  <si>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pārāda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</si>
  <si>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</si>
  <si>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</si>
  <si>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</si>
  <si>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</si>
  <si>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</si>
  <si>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</si>
  <si>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</si>
  <si>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</si>
  <si>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</si>
  <si>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</si>
  <si>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</si>
  <si>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</si>
  <si>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</si>
  <si>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</si>
  <si>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</si>
  <si>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</si>
  <si>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</si>
  <si>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</si>
  <si>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</si>
  <si>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</si>
  <si>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04.515.</t>
  </si>
  <si>
    <t>04.730.</t>
  </si>
  <si>
    <t xml:space="preserve">Tūrisms </t>
  </si>
  <si>
    <t>04.733.</t>
  </si>
  <si>
    <t>04.737.</t>
  </si>
  <si>
    <t>ERAF projekts "Nozīmīga kultūrvēsturiskā mantojuma saglabāšana un attīstība kultūras tūrisma piedāvājuma pilnveidošanai Zemgales reģionā"</t>
  </si>
  <si>
    <t>04.738.</t>
  </si>
  <si>
    <t>04.739.</t>
  </si>
  <si>
    <t>ERAF projekts "Kultūras mantojuma saglabāšana un attīstība Jelgavas pilsētā"</t>
  </si>
  <si>
    <t>04.740.</t>
  </si>
  <si>
    <t>Vairāku mērķu attīstības projekti</t>
  </si>
  <si>
    <t>04.744.</t>
  </si>
  <si>
    <t>ERAF projekts "Pilssalas ielas degradētās teritorijas sakārtošana"</t>
  </si>
  <si>
    <t>04.900.</t>
  </si>
  <si>
    <t>Pārējā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</si>
  <si>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</si>
  <si>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</si>
  <si>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</si>
  <si>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</si>
  <si>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</si>
  <si>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05.100.</t>
  </si>
  <si>
    <t>Atkritumu apsaimniekošana</t>
  </si>
  <si>
    <t>05.101.</t>
  </si>
  <si>
    <t xml:space="preserve">Ielu, laukumu, publisko dārzu un parku tīrīšana un atkritumu savākšana </t>
  </si>
  <si>
    <t xml:space="preserve">05.102. </t>
  </si>
  <si>
    <t>Pilsētas sanitārā tīrīšana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</si>
  <si>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</si>
  <si>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</si>
  <si>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</si>
  <si>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</si>
  <si>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</si>
  <si>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</si>
  <si>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Finansējums pašvaldības kapitālsabiedrībām vides aizsardzības pasākumu īstenošanai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</si>
  <si>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</si>
  <si>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</si>
  <si>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</si>
  <si>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</si>
  <si>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</si>
  <si>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</si>
  <si>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</si>
  <si>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</si>
  <si>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 xml:space="preserve">Pārējā citur neklasificētā teritoriju un mājokļu apsaimniekošanas darbība </t>
  </si>
  <si>
    <t>06.601.</t>
  </si>
  <si>
    <t>06.602.</t>
  </si>
  <si>
    <t>06.603.</t>
  </si>
  <si>
    <t>Pašvaldības īpašumu apsaimniekošana</t>
  </si>
  <si>
    <t>06.604.</t>
  </si>
  <si>
    <t>Pašvaldības dzīvokļu pārvaldīšana, remonts,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</si>
  <si>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</si>
  <si>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</si>
  <si>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</si>
  <si>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</si>
  <si>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</si>
  <si>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</si>
  <si>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</si>
  <si>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Ambulatoro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</si>
  <si>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</si>
  <si>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</si>
  <si>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</si>
  <si>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</si>
  <si>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</si>
  <si>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ESF projekts "Veselības veicināšana Jelgavā"</t>
  </si>
  <si>
    <t>07.623.</t>
  </si>
  <si>
    <t>Nodibinājums "Jelgavnieku veselības veicināšanas fonds"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</si>
  <si>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</si>
  <si>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</si>
  <si>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</si>
  <si>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</si>
  <si>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</si>
  <si>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</si>
  <si>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</si>
  <si>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</si>
  <si>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</si>
  <si>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</si>
  <si>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</si>
  <si>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</si>
  <si>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</si>
  <si>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</si>
  <si>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</si>
  <si>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</si>
  <si>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08.231.</t>
  </si>
  <si>
    <t>08.232.</t>
  </si>
  <si>
    <t>08.240.</t>
  </si>
  <si>
    <t xml:space="preserve">Teātri, izrādes un koncertdarbība </t>
  </si>
  <si>
    <t>08.242.</t>
  </si>
  <si>
    <t>Jelgavas bigbenda darbības nodrošināšana</t>
  </si>
  <si>
    <t>08.243.</t>
  </si>
  <si>
    <t>Jelgavas Ā.Alunāna teātra darbības nodrošināšana</t>
  </si>
  <si>
    <t xml:space="preserve">08.290. 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</si>
  <si>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</si>
  <si>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</si>
  <si>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</si>
  <si>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</si>
  <si>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</si>
  <si>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</si>
  <si>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</si>
  <si>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</si>
  <si>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</si>
  <si>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</si>
  <si>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</si>
  <si>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</si>
  <si>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08.405.</t>
  </si>
  <si>
    <t>09.100.</t>
  </si>
  <si>
    <t>Pirmsskolas izglītība</t>
  </si>
  <si>
    <t>09.101.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</si>
  <si>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</si>
  <si>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</si>
  <si>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</si>
  <si>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</si>
  <si>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</si>
  <si>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</si>
  <si>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</si>
  <si>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</si>
  <si>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</si>
  <si>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</si>
  <si>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</si>
  <si>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</si>
  <si>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</si>
  <si>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</si>
  <si>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</si>
  <si>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</si>
  <si>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</si>
  <si>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Pārējie interešu izglītības pasākumi, t.sk. Jaunrades nama "Junda" darbības nodrošināšana</t>
  </si>
  <si>
    <t>Jelgavas Mākslas skolas darbības nodrošināšana</t>
  </si>
  <si>
    <t>09.513.</t>
  </si>
  <si>
    <t>Jelgavas sporta skolu darbības nodrošināšana</t>
  </si>
  <si>
    <t>09.518.</t>
  </si>
  <si>
    <t>Jaunrades nama "Junda" projektu īstenošana</t>
  </si>
  <si>
    <t>09.519.04.</t>
  </si>
  <si>
    <t>09.520.</t>
  </si>
  <si>
    <t>Pedagogu profesionālās meistarības pilnveidošana, rezidentu apmācība un tālākizglītība, Valsts administrācijas skolas nodrošinātā apmācība</t>
  </si>
  <si>
    <t>Nodibinājums "Izglītības atbalsta fonds"</t>
  </si>
  <si>
    <t>09.522.</t>
  </si>
  <si>
    <t>Nodibinājums "J.Bisenieka fonds"</t>
  </si>
  <si>
    <t>09.530.</t>
  </si>
  <si>
    <t>Līmeņos nedefinēta izglītība pieaugušajiem</t>
  </si>
  <si>
    <t>09.531.</t>
  </si>
  <si>
    <t>09.532.</t>
  </si>
  <si>
    <t>09.533.</t>
  </si>
  <si>
    <t>ESF projekts "Proti un dari"</t>
  </si>
  <si>
    <t>09.534.</t>
  </si>
  <si>
    <t xml:space="preserve">ESF projekts “Nodarbināto personu profesionālās kompetences pilnveide” </t>
  </si>
  <si>
    <t>09.810.</t>
  </si>
  <si>
    <t>Pārējā izglītības vadība</t>
  </si>
  <si>
    <t>09.811.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</si>
  <si>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</si>
  <si>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</si>
  <si>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</si>
  <si>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</si>
  <si>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</si>
  <si>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</si>
  <si>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</si>
  <si>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</si>
  <si>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</si>
  <si>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</si>
  <si>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</si>
  <si>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</si>
  <si>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</si>
  <si>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</si>
  <si>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</si>
  <si>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</si>
  <si>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</si>
  <si>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</si>
  <si>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</si>
  <si>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</si>
  <si>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</si>
  <si>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</si>
  <si>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</si>
  <si>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</si>
  <si>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</si>
  <si>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</si>
  <si>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</si>
  <si>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</si>
  <si>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</si>
  <si>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</si>
  <si>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</si>
  <si>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</si>
  <si>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</si>
  <si>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</si>
  <si>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</si>
  <si>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</si>
  <si>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</si>
  <si>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</si>
  <si>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</si>
  <si>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</si>
  <si>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</si>
  <si>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</si>
  <si>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</si>
  <si>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10.900.</t>
  </si>
  <si>
    <t>10.911.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</si>
  <si>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</si>
  <si>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</si>
  <si>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</si>
  <si>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</si>
  <si>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 xml:space="preserve">Akcijas un cita līdzdalība komersantu pašu kapitālā </t>
  </si>
  <si>
    <t>PAVISAM IZDEVUMI</t>
  </si>
  <si>
    <t>Nosaukums</t>
  </si>
  <si>
    <t>PAVISAM KOPĀ</t>
  </si>
  <si>
    <t>Ziedojumu un dāvinājumu budžeta resursi, EUR</t>
  </si>
  <si>
    <t>Klasifikā-cijas kods</t>
  </si>
  <si>
    <t>PAVISAM RESURSI KOPĀ</t>
  </si>
  <si>
    <t>Ziedojumu un dāvinājumu budžeta izdevumi, EUR</t>
  </si>
  <si>
    <t>Valdības funkcijas kods</t>
  </si>
  <si>
    <t>Ziedojumi/ dāvinājumi</t>
  </si>
  <si>
    <t>PAVISAM IZDEVUMI KOPĀ</t>
  </si>
  <si>
    <t>8. pielikums</t>
  </si>
  <si>
    <t>N.p.k.</t>
  </si>
  <si>
    <t>I</t>
  </si>
  <si>
    <t>Pašvaldību saņemtie valsts budžeta transferti noteiktam mērķim</t>
  </si>
  <si>
    <t>II</t>
  </si>
  <si>
    <t>Izdevumi - kopā</t>
  </si>
  <si>
    <t>Ielu būvniecība un rekonstrukcija</t>
  </si>
  <si>
    <t>Ietvju būvniecība un rekonstrukcija</t>
  </si>
  <si>
    <t>Ceļu un ielu atjaunošana, pārbūve un nojaukšana</t>
  </si>
  <si>
    <t>Ceļu un ielu ikdienas uzturēšana</t>
  </si>
  <si>
    <t>Pārējie izdevumi</t>
  </si>
  <si>
    <t>III</t>
  </si>
  <si>
    <t>Finansēšana</t>
  </si>
  <si>
    <t>Naudas līdzekļi perioda sākumā</t>
  </si>
  <si>
    <t>Nodibinājums "Atbalsts kultūrai Jelgavā"</t>
  </si>
  <si>
    <t>Projekts "Ēkas Pasta ielā 32, Jelgavā, pārbūve par dzimtsarakstu nodaļu"</t>
  </si>
  <si>
    <t>01.116.</t>
  </si>
  <si>
    <t>04.745.</t>
  </si>
  <si>
    <t>06.100.</t>
  </si>
  <si>
    <t>Mājokļu attīstība</t>
  </si>
  <si>
    <t>JELGAVAS VALSTSPILSĒTAS PAŠVALDĪBAS VIDĒJA TERMIŅA PILSĒTAS IELU FINANSĒŠANAI PAREDZĒTAIS AUTOCEĻU FONDS, EUR</t>
  </si>
  <si>
    <t>2024.gads</t>
  </si>
  <si>
    <t>"Apvārsnis 2020" programmas projekts "Wellbased"</t>
  </si>
  <si>
    <t>Dotācijas biedrībām un nodibinājumiem</t>
  </si>
  <si>
    <t>10.713.</t>
  </si>
  <si>
    <t>Specializētās darbnīcas</t>
  </si>
  <si>
    <t>21.411.</t>
  </si>
  <si>
    <t>21.429.</t>
  </si>
  <si>
    <t>Ieņēmumi no palīgražošanas</t>
  </si>
  <si>
    <t>Pārējie iepriekš neklasificētie īpašiem mērķiem noteiktie ieņēmumi</t>
  </si>
  <si>
    <t>09.823.</t>
  </si>
  <si>
    <t>Projekts "Uzņēmējdarbības atbalsta pasākumi Zemgales plānošanas reģionā"</t>
  </si>
  <si>
    <t>Interreg V-A Latvijas - Lietuvas pārrobežu sadarbības programmas projekts "Sociālajam riskam pakļauto bērnu un jauniešu integrācija Jelgavas un Šauļu pilsētas pašvaldībās"</t>
  </si>
  <si>
    <t>Interreg V- A Latvijas - Lietuvas pārrobežu sadarbības programmas projekts "Kopīga pārrobežu tūrisma piedāvājuma "Saules ceļš" izveide"</t>
  </si>
  <si>
    <t>04.746.</t>
  </si>
  <si>
    <t>"Apvārsnis 2020" programmas projekts "IMPETUS"</t>
  </si>
  <si>
    <t>08.600.</t>
  </si>
  <si>
    <t>Pārējie citur neklasificētie sporta, atpūtas, kultūras un reliģijas pakalpojumi</t>
  </si>
  <si>
    <t>08.621.</t>
  </si>
  <si>
    <t>09.640.</t>
  </si>
  <si>
    <t>Izglītojamo pārējie papildu pakalpojumi</t>
  </si>
  <si>
    <t>09.640.1.</t>
  </si>
  <si>
    <t>Asistentu pakalpojumu nodrošināšana</t>
  </si>
  <si>
    <t>10.125.1.</t>
  </si>
  <si>
    <t>DI Grupu dzīvokļi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</si>
  <si>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</si>
  <si>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</si>
  <si>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</si>
  <si>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</si>
  <si>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</si>
  <si>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6000. Sociālie pabalsti</t>
  </si>
  <si>
    <t>7000. Uzturēšanas izdevumu transferti, pašu resursu maksājumi, starptautiskā sadarbība</t>
  </si>
  <si>
    <t>01.111. Izpildvaras institūcija</t>
  </si>
  <si>
    <t>01.331. Centralizēto datoru un datortīklu uzturēšana</t>
  </si>
  <si>
    <t>04.901. Zemes reformas darbība, zemes īpašuma un lietošanas tiesību pārveidošana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</si>
  <si>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</si>
  <si>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</si>
  <si>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</si>
  <si>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</si>
  <si>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08.292. Pilsētas nozīmes pasākumi</t>
  </si>
  <si>
    <t>4000. Procentu izdevumi</t>
  </si>
  <si>
    <t>01.721. Parāda procentu nomaksa</t>
  </si>
  <si>
    <t>01.890.  Līdzekļi neparedzētiem gadījumiem</t>
  </si>
  <si>
    <t>04.909. Dotācija Zemgales plānošanas reģionam</t>
  </si>
  <si>
    <t>05.303. Finansējums pašvaldības kapitālsabiedrībām vides aizsardzības pasākumu īstenošanai</t>
  </si>
  <si>
    <t>08.401. Dotācijas projektu realizācijai NVO</t>
  </si>
  <si>
    <t>08.405. Dotācijas biedrībām un nodibinājumiem</t>
  </si>
  <si>
    <t>05.101. Ielu, laukumu, publisko dārzu un parku tīrīšana, atkritumu savākšana</t>
  </si>
  <si>
    <t>05.202. Notekūdeņu apsaimniekošana</t>
  </si>
  <si>
    <t>06.401. Ielu apgaismošana</t>
  </si>
  <si>
    <t>06.602. Pašvaldības teritorijas, mežu un kapsētu apsaimniekošana</t>
  </si>
  <si>
    <t>10.504. Atbalsts Bezdarba gadījumā</t>
  </si>
  <si>
    <t>08.103. Dotācijas sporta pasākumiem</t>
  </si>
  <si>
    <t>09.513. Jelgavas sporta skolu darbības nodrošināšana - kopsavilkums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</si>
  <si>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</si>
  <si>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</si>
  <si>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</si>
  <si>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</si>
  <si>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01.831. Transferti citām pašvaldībām izglītības funkciju nodrošināšanai</t>
  </si>
  <si>
    <t>09.219.1. Jelgavas vispārizglītojošo skolu darbības nodrošināšana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</si>
  <si>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</si>
  <si>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</si>
  <si>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</si>
  <si>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09.511. Pārējie interešu izglītības pasākumi, t.sk. Jaunrades nama 'Junda' darbības nodrošināšana</t>
  </si>
  <si>
    <t>09.512. Jelgavas Mākslas skolas darbības nodrošināšana</t>
  </si>
  <si>
    <t>09.640.1. Asistentu pakalpojumu nodrošināšana</t>
  </si>
  <si>
    <t>10.922. Braukšanas maksas atvieglojumi skolēniem sabiedriskajā transportā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</si>
  <si>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</si>
  <si>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</si>
  <si>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</si>
  <si>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</si>
  <si>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</si>
  <si>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10.125. Grupu dzīvokļi</t>
  </si>
  <si>
    <t>10.125.1. DI Grupu dzīvokļi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</si>
  <si>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</si>
  <si>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</si>
  <si>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</si>
  <si>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</si>
  <si>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</si>
  <si>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</si>
  <si>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</si>
  <si>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</si>
  <si>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10.713. Specializētās darbnīcas</t>
  </si>
  <si>
    <t>10.921. Pabalsti ārkārtas gadījumos, citi pabalsti un maksājumi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</si>
  <si>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</si>
  <si>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</si>
  <si>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</si>
  <si>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</si>
  <si>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</si>
  <si>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7. pielikums</t>
  </si>
  <si>
    <t>Līdzekļi neparedzētiem gadījumiem</t>
  </si>
  <si>
    <t>Mājokļa pabalsts un pabalsts individuālās apkures nodrošināšanai</t>
  </si>
  <si>
    <t>10.601. Mājokļa pabalsts un pabalsts individuālās apkures nodrošināšanai</t>
  </si>
  <si>
    <t>2025.gads</t>
  </si>
  <si>
    <t>09.460.</t>
  </si>
  <si>
    <t>Valsts nodeva par speciālu atļauju (licenču) izsniegšanu</t>
  </si>
  <si>
    <t>Izpilvaras institūcija</t>
  </si>
  <si>
    <t>Pašvaldības ieņēmumu un izdevumu administrēšana, revidentu pakalpojumi</t>
  </si>
  <si>
    <t>01.117.</t>
  </si>
  <si>
    <t>Jelgavas valstspilsētas un Jelgavas novada pašvaldības kopīgās iestādes "Jelgavas valstspilsētas un novada Dzimtsarakstu nodaļa" darbības nodrošināšana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</si>
  <si>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</si>
  <si>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</si>
  <si>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</si>
  <si>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</si>
  <si>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operatīvais informācijas centrs</t>
  </si>
  <si>
    <t>Sabiedriskā transporta pakalpojumu nodrošināšana Jelgavas valstspilsētas administratīvajā teritorijā</t>
  </si>
  <si>
    <t>04.510.533.</t>
  </si>
  <si>
    <t>ERAF projekts "Tehniskās infrastruktūras sakārtošana uzņēmējdarbības attīstībai Rubeņu ceļa rūpnieciskajā teritorijā"</t>
  </si>
  <si>
    <t>Ceļu un ielu infrastruktūras funkcionēšana, būvniecība un uzturēšana</t>
  </si>
  <si>
    <t>JVPI "Jelgavas reģionālais tūrisma centrs" darbības nodrošināšana</t>
  </si>
  <si>
    <t>Jelgavas valstspilsētas pašvaldības grantu programma "Atbalsts komersantiem un saimnieciskās darbības veicējiem"</t>
  </si>
  <si>
    <t>JVPI "Pilsētsaimniecība" darbības nodrošināšana</t>
  </si>
  <si>
    <t>Pašvaldības teritorijas, mežu un kapsētu apsaimniekošana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</si>
  <si>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</si>
  <si>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</si>
  <si>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</si>
  <si>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</si>
  <si>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</si>
  <si>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</si>
  <si>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JVPI "Zemgales reģiona kompetenču attīstības centrs" darbības nodrošināšana</t>
  </si>
  <si>
    <t>JVPI "Zemgales reģiona kompetenču attīstības centrs" projektu īstenošana</t>
  </si>
  <si>
    <t>09.600.</t>
  </si>
  <si>
    <t>Izglītības papildu pakalpojumi</t>
  </si>
  <si>
    <t>09.620.</t>
  </si>
  <si>
    <t>Izglītojamo ēdināšanas pakalpojumi</t>
  </si>
  <si>
    <t>09.630.</t>
  </si>
  <si>
    <t>09.620.1.</t>
  </si>
  <si>
    <t>09.630.1.</t>
  </si>
  <si>
    <t>Izglītojamo izmitināšanas pakalpojumi</t>
  </si>
  <si>
    <t>Izglītojamo ēdināšanas pakalpojumu nodrošināšana</t>
  </si>
  <si>
    <t>Izglītojamo izmitināšanas pakalpojumu nodrošināšana Jelgavas pamatskolas 'Valdeka' - attīstības centra dienesta viesnīcā</t>
  </si>
  <si>
    <t>09.640.2.</t>
  </si>
  <si>
    <t>Pārējo papildu pakalpojumu nodrošināšana izglītojamajiem Jelgavas Pārlielupes pamatskolas baseinā</t>
  </si>
  <si>
    <t>JVPI "Jelgavas Izglītības pārvalde" darbības nodrošināšana</t>
  </si>
  <si>
    <t>10.126.</t>
  </si>
  <si>
    <t>Atelpas brīdis</t>
  </si>
  <si>
    <t>JVPI "Jelgavas valstspilsētas bāriņtiesa" darbības nodrošināšana</t>
  </si>
  <si>
    <t>JVPI "Jelgavas sociālo lietu pārvalde" darbības nodrošināšana</t>
  </si>
  <si>
    <t>10.924.</t>
  </si>
  <si>
    <t>Atbalsts mājsaimniecībām energoresursu izdevumu kompensēšanai</t>
  </si>
  <si>
    <t>JVPI  "Kultūra" darbības nodrošināšana</t>
  </si>
  <si>
    <t>Pašvaldības investīciju projekts "Jelgavas Bērnu un jaunatnes sporta skolas infrastruktūras attīstība"</t>
  </si>
  <si>
    <t>09.519.05.</t>
  </si>
  <si>
    <t>ERAF projekts "Ēkas daļas Svētes ielā 33, Jelgavā, energoefektivitātes paaugstināšana"</t>
  </si>
  <si>
    <t>09.535.</t>
  </si>
  <si>
    <r>
      <t>Kultūras centri, nami un klubi</t>
    </r>
    <r>
      <rPr>
        <b/>
        <i/>
        <sz val="11"/>
        <rFont val="Times New Roman"/>
        <family val="1"/>
      </rPr>
      <t xml:space="preserve"> </t>
    </r>
  </si>
  <si>
    <r>
      <t>Pārējā citur neklasificētā sociālā aizsardzība</t>
    </r>
    <r>
      <rPr>
        <b/>
        <i/>
        <sz val="11"/>
        <rFont val="Times New Roman"/>
        <family val="1"/>
      </rPr>
      <t xml:space="preserve">  </t>
    </r>
  </si>
  <si>
    <t>11. JELGAVAS VALSTSPILSĒTAS PAŠVALDĪBAS IESTĀDE 'Ģ.ELIASA JELGAVAS VĒSTURES UN MĀKSLAS MUZEJS'</t>
  </si>
  <si>
    <t>08.221. JVPI 'Ģ.Eliasa Jelgavas Vēstures un mākslas muzejs' darbības nodrošināšana</t>
  </si>
  <si>
    <t>12. JELGAVAS VALSTSPILSĒTAS PAŠVALDĪBAS IESTĀDE 'KULTŪRA'</t>
  </si>
  <si>
    <t>08.231. JVPI 'Kultūra' darbības nodrošināšana</t>
  </si>
  <si>
    <t>15. JELGAVAS VALSTSPILSĒTAS PAŠVALDĪBAS IESTĀDE 'JELGAVAS IZGLĪTĪBAS PĀRVALDE'</t>
  </si>
  <si>
    <t>09.811. JVPI 'Jelgavas izglītības pārvalde' darbības nodrošināšana</t>
  </si>
  <si>
    <t>17. JELGAVAS VALSTSPILSĒTAS PAŠVALDĪBAS IESTĀDE 'JELGAVAS SOCIĀLO LIETU PĀRVALDE'</t>
  </si>
  <si>
    <t>10.126. Atelpas brīdis</t>
  </si>
  <si>
    <t>09.640.2.Pārējo papildu pakalpojumu nodrošināšana izglītojamajiem Jelgavas Pārlielupes pamatskolas baseinā</t>
  </si>
  <si>
    <t>09.620.1. Izglītojamo ēdināšanas pakalpojumu nodrošināšana</t>
  </si>
  <si>
    <t>09.513.3. Jelgavas Ledus sporta skola</t>
  </si>
  <si>
    <t>09.513.2. Jelgavas Specializētā peldēšanas skola</t>
  </si>
  <si>
    <t>09.513.1. Jelgavas Bērnu un jaunatnes sporta skola</t>
  </si>
  <si>
    <t>04.511. Ceļu un ielu infrastruktūras funkcionēšana, būvniecība un uzturēšana</t>
  </si>
  <si>
    <t>04.515. Sabiedriskā transporta pakalpojumu nodrošināšana Jelgavas valstspilsētas administratīvajā teritorijā</t>
  </si>
  <si>
    <t>01.122. Pašvaldības ieņēmumu un izdevumu administrēšana, revidentu pakalpojumi</t>
  </si>
  <si>
    <t>04.510.533. ERAF projekts 'Tehniskās infrastruktūras sakārtošana uzņēmējdarbības attīstībai Rubeņu ceļa rūpnieciskajā teritorijā'</t>
  </si>
  <si>
    <t>2024.gada plāns, EUR</t>
  </si>
  <si>
    <t>12.390.</t>
  </si>
  <si>
    <t>Citi dažādi nenodokļu ieņēmumi</t>
  </si>
  <si>
    <t>12.395.</t>
  </si>
  <si>
    <t>Līgumsodi un procentu maksājumi par saistību neizpildi</t>
  </si>
  <si>
    <t>2024.gada izdevumu plāns</t>
  </si>
  <si>
    <t>Plāns 2024.gadam</t>
  </si>
  <si>
    <t>INTERREG Baltijas jūras reģiona programmas projekts ''Jaunuzņēmumi (START-UP) saules energokopienām''</t>
  </si>
  <si>
    <t>04.918.</t>
  </si>
  <si>
    <t>05.400.</t>
  </si>
  <si>
    <t>05.401.</t>
  </si>
  <si>
    <t>Projekts ''Īpaši aizsargājamās dabas teritorijas - dabas lieguma ''Lielupes palienes pļavas'' dabas aizsardzības plāna aktualizēšana''</t>
  </si>
  <si>
    <t xml:space="preserve"> Bioloģiskās daudzveidības un ainavas aizsardzība</t>
  </si>
  <si>
    <t>10.120.31.</t>
  </si>
  <si>
    <t>AF projekts ''Mājokļu vides pieejamības nodrošināšana cilvēkiem ar invaliditāti Jelgavas valstspilsētā''</t>
  </si>
  <si>
    <t>08.110.</t>
  </si>
  <si>
    <t>ERAF projekts ''Pārlielupes skeitparka būvniecība ārtelpas attīstībai Jelgavā''</t>
  </si>
  <si>
    <t>01.334.</t>
  </si>
  <si>
    <t>Projekts ''Atvieglojumu vienotās informācijas sistēmas un latvija.lv atvēršana komersantiem un valsts un pašvaldības vienoto klientu apkalpošanas centru attīstība''</t>
  </si>
  <si>
    <t>04.510.534.</t>
  </si>
  <si>
    <t>Projekts ''Aizsargu ielas seguma atjaunošana''</t>
  </si>
  <si>
    <t>04.510.536.</t>
  </si>
  <si>
    <t>Projekts ''2., 3.līnijas un Nameja ielas posma Jelgavā pārbūve''</t>
  </si>
  <si>
    <t>04.510.537.</t>
  </si>
  <si>
    <t>Projekts ''Būvniecības ieceres dokumentācijas ''Pārvada pār dzelzceļu Lietuvas šosejā, Jelgavā, atjaunošana'' izstrāde''</t>
  </si>
  <si>
    <t>04.510.538.</t>
  </si>
  <si>
    <t>Projekts ''Lielupes tilta balstu zemūdens remontdarbu veikšana''</t>
  </si>
  <si>
    <t>06.404.</t>
  </si>
  <si>
    <t>Emisijas kvotu izsolīšanas instrumenta projekts - ''Siltumnīcefekta gāzu emisiju samazināšana Jelgavas valstspilsētas pašvaldības publisko teritoriju apgaismojuma infrastruktūrā''</t>
  </si>
  <si>
    <t>xx</t>
  </si>
  <si>
    <t>09.113.</t>
  </si>
  <si>
    <t>Jelgavas pirmsskolas izglītības iestāžu projektu īstenošana</t>
  </si>
  <si>
    <t>09.219.10.</t>
  </si>
  <si>
    <t>Projekts ''Jelgavas valstspilsētas pašvaldības iestādes ''Jelgavas Centra pamatskola'' stadiona pārbūve''</t>
  </si>
  <si>
    <t>10.715.</t>
  </si>
  <si>
    <t>Krīzes centrs</t>
  </si>
  <si>
    <t>JVPI "Jelgavas izglītības pārvalde" darbības nodrošināšana</t>
  </si>
  <si>
    <t>Jelgavas pirmsskolas izglītības iestāžu darbības nodrošināšana</t>
  </si>
  <si>
    <t>Jelgavas speciālo pamatskolu darbības nodrošināšana</t>
  </si>
  <si>
    <t>18. FINANSĒŠANA</t>
  </si>
  <si>
    <t>10.911. JVPI ''Jelgavas sociālo lietu pārvalde'' darbības nodrošināšana</t>
  </si>
  <si>
    <t>10.715. Krīzes centrs</t>
  </si>
  <si>
    <t>10.124. Dienas centrs ''Atbalsts''</t>
  </si>
  <si>
    <t>10.123. Dienas centrs ''Integra''</t>
  </si>
  <si>
    <t>10.122. Dienas centrs ''Harmonija''</t>
  </si>
  <si>
    <t>17. JELGAVAS VALSTSPILSĒTAS PAŠVALDĪBAS IESTĀDE ''JELGAVAS SOCIĀLO LIETU PĀRVALDE''</t>
  </si>
  <si>
    <t>10.403. JVPI ''Jelgavas valstspilsētas bāriņtiesa' darbības nodrošināšana</t>
  </si>
  <si>
    <t>16. JELGAVAS VALSTSPILSĒTAS PAŠVALDIBAS IESTĀDE ''JELGAVAS VALSTSPILSĒTAS BĀRIŅTIESA''</t>
  </si>
  <si>
    <t>09.811. JVPI ''Jelgavas izglītības pārvalde'' darbības nodrošināšana</t>
  </si>
  <si>
    <t>09.630.1. Izglītojamo izmitināšanas pakalpojumu nodrošināšana Jelgavas pamatskolas ''Valdeka'' - attīstības centra dienesta viesnīcā</t>
  </si>
  <si>
    <t>09.511. Pārējie interešu izglītības pasākumi, t.sk. Jaunrades nama ''Junda'' darbības nodrošināšana</t>
  </si>
  <si>
    <t>09.219.10. Projekts ''Jelgavas valstspilsētas pašvaldības iestādes ''Jelgavas Centra pamatskola'' stadiona pārbūve''</t>
  </si>
  <si>
    <t>09.219.2. Jelgavas speciālo pamatskolu darbības nodrošināšana</t>
  </si>
  <si>
    <t>09.113. Jelgavas pirmsskolas izglītības iestāžu projektu īstenošana</t>
  </si>
  <si>
    <t>09.101. Jelgavas pirmsskolas izglītības iestāžu darbības nodrošināšana</t>
  </si>
  <si>
    <t>15. JELGAVAS VALSTSPILSĒTAS PAŠVALDĪBAS IESTĀDE ''JELGAVAS IZGLĪTĪBAS PĀRVALDE''</t>
  </si>
  <si>
    <t>09.532. JVPI ''Zemgales reģiona kompetenču attīstības centrs'' projektu īstenošana</t>
  </si>
  <si>
    <t>09.531. JVPI ''Zemgales reģiona kompetenču attīstības centrs'' darbības nodrošināšana</t>
  </si>
  <si>
    <t>14. JELGAVAS VALSTSPILSĒTAS PAŠVALDĪBAS PROFESIONĀLĀS TĀLĀKIZGLĪTĪBAS IESTĀDE ''ZEMGALES REĢIONA KOMPETENČU ATTĪSTĪBAS CENTRS''</t>
  </si>
  <si>
    <t>08.621. JVPI ''Sabiedriskais centrs'' darbības nodrošināšana</t>
  </si>
  <si>
    <t>13. JELGAVAS VALSTSPILSĒTAS PAŠVALDĪBAS IESTĀDE ''SABIEDRISKAIS CENTRS''</t>
  </si>
  <si>
    <t>08.232. JVPI ''Kultūra'' pasākumi</t>
  </si>
  <si>
    <t>08.231. JVPI ''Kultūra'' darbības nodrošināšana</t>
  </si>
  <si>
    <t>12. JELGAVAS VALSTSPILSĒTAS PAŠVALDĪBAS IESTĀDE ''KULTŪRA''</t>
  </si>
  <si>
    <t>08.221. JVPI ''Ģ.Eliasa Jelgavas Vēstures un mākslas muzejs'' darbības nodrošināšana</t>
  </si>
  <si>
    <t>11. JELGAVAS VALSTSPILSĒTAS PAŠVALDĪBAS IESTĀDE ''Ģ.ELIASA JELGAVAS VĒSTURES UN MĀKSLAS MUZEJS''</t>
  </si>
  <si>
    <t>08.211. JVPI ''Jelgavas Pilsētas bibliotēka'' darbības nodrošināšana</t>
  </si>
  <si>
    <t>10. JELGAVAS VALSTSPILSĒTAS PAŠVALDĪBAS IESTĀDE ''JELGAVAS PILSĒTAS BIBLIOTĒKA''</t>
  </si>
  <si>
    <t>08.101. JVPI ''Sporta servisa centrs'' darbības nodrošināšana</t>
  </si>
  <si>
    <t>09. JELGAVAS VALSTSPILSĒTAS PAŠVALDĪBAS IESTĀDE ''SPORTA SERVISA CENTRS''</t>
  </si>
  <si>
    <t>06.601. JVPI ''Pilsētsaimniecība'' darbības nodrošināšana</t>
  </si>
  <si>
    <t>06.404.  Emisijas kvotu izsolīšanas instrumenta projekts - ''Siltumnīcefekta gāzu emisiju samazināšana Jelgavas valstspilsētas pašvaldības publisko teritoriju apgaismojuma infrastruktūrā''</t>
  </si>
  <si>
    <t>04.510.538. Projekts ''Lielupes tilta balstu zemūdens remontdarbu veikšana''</t>
  </si>
  <si>
    <t>04.510.537. Projekts ''Būvniecības ieceres dokumentācijas ''Pārvada pār dzelzceļu Lietuvas šosejā, Jelgavā, atjaunošana'' izstrāde''</t>
  </si>
  <si>
    <t>04.510.536. Projekts ''2., 3.līnijas un Nameja ielas posma Jelgavā pārbūve''</t>
  </si>
  <si>
    <t>04.510.534. Projekts ''Aizsargu ielas seguma atjaunošana''</t>
  </si>
  <si>
    <t>08. JELGAVAS VALSTSPILSĒTAS PAŠVALDĪBAS IESTĀDE ''PILSĒTSAIMNIECĪBA''</t>
  </si>
  <si>
    <t>04.733. JVPI ''Jelgavas reģionālais tūrisma centrs'' darbības nodrošināšana</t>
  </si>
  <si>
    <t>07. JELGAVAS VALSTSPILSĒTAS PAŠVALDĪBAS IESTĀDE ''JELGAVAS REĢIONĀLAIS TŪRISMA CENTRS''</t>
  </si>
  <si>
    <t>04.746. ''Apvārsnis 2020'' programmas projekts ''Impetus''</t>
  </si>
  <si>
    <t>04.745. ''Apvārsnis 2020'' programmas projekts ''Wellbased''</t>
  </si>
  <si>
    <t>03.202. Pašvaldības operatīvais informācijas centrs un civilā aizsardzība</t>
  </si>
  <si>
    <t>01.334. Projekts ''Atvieglojumu vienotās informācijas sistēmas un latvija.lv atvēršana komersantiem un valsts un pašvaldības vienoto klientu apkalpošanas centru attīstība''</t>
  </si>
  <si>
    <t>01.333. JVPI ''Jelgavas digitālais centrs'' darbības nodrošināšana</t>
  </si>
  <si>
    <t>06. JELGAVAS VALSTSPILSĒTAS PAŠVALDĪBAS IESTĀDE ''JELGAVAS DIGITĀLAIS CENTRS''</t>
  </si>
  <si>
    <t>03.111. JVPI ''Jelgavas pašvaldības policija'' darbības nodrošināšana</t>
  </si>
  <si>
    <t>05. JELGAVAS VALSTSPILSĒTAS PAŠVALDĪBAS IESTĀDE ''JELGAVAS PAŠVALDĪBAS POLICIJA''</t>
  </si>
  <si>
    <t>01.123. JVPI ''Pašvaldības iestāžu centralizētā grāmatvedība'' darbības nodrošināšana</t>
  </si>
  <si>
    <t>04. JELGAVAS VALSTSPILSĒTAS PAŠVALDĪBAS IESTĀDE ''PAŠVALDĪBAS IESTĀŽU CENTRALIZĒTĀ GRĀMATVEDĪBA''</t>
  </si>
  <si>
    <t>06.603. Pašvaldības īpašumu apsaimniekošana - finansējums SIA ''Jelgavas nekustamā īpašuma pārvalde''</t>
  </si>
  <si>
    <t>05.102.  Pilsētas sanitārā tīrīšana - SIA ''Zemgales EKO'' funkcija</t>
  </si>
  <si>
    <t>04.917. Jelgavas valstspilsētas pašvaldības grantu programma ''Atbalsts komersantiem un saimnieciskās darbības veicējiem''</t>
  </si>
  <si>
    <t>03. JELGAVAS VALSTSPILSĒTAS PAŠVALDĪBAS IESTĀDES ''CENTRĀLĀ PĀRVALDE'' FINANŠU DEPARTAMENTS</t>
  </si>
  <si>
    <t>01.117. Jelgavas valstspilsētas pašvaldības un Jelgavas novada pašvaldības kopīgās iestādes ''Jelgavas valstspilsētas un novada Dzimtsarakstu nodaļa'' darbības nodrošināšana</t>
  </si>
  <si>
    <t>02. JELGAVAS VALSTSPILSĒTAS PAŠVALDĪBAS UN JELGAVAS NOVADA PAŠVALDĪBAS KOPĪGĀ IESTĀDE ''JELGAVAS VALSTSPILSĒTAS UN NOVADA DZIMTSARAKSTU NODAĻA''</t>
  </si>
  <si>
    <t>10.120.31. AF projekts ''Mājokļu vides pieejamības nodrošināšana cilvēkiem ar invaliditāti Jelgavas valstspilsētā''</t>
  </si>
  <si>
    <t>09.823. Projekts ''Uzņēmējdarbības atbalsta pasākumi Zemgales plānošanas reģionā''</t>
  </si>
  <si>
    <t>09.519.05. Pašvaldības investīciju projekts ''Jelgavas Bērnu un jaunatnes sporta skolas infrastruktūras attīstība''</t>
  </si>
  <si>
    <t>09.519.04. Latvijas - Lietuvas pārrobežu sadarbības programmas projekts ''Sociālajam riskam pakļauto bērnu un jauniešu integrācija Jelgavas un Šauļu pilsētas pašvaldībās''</t>
  </si>
  <si>
    <t>08.110. ERAF projekts ''Pārlielupes skeitparka būvniecība ārtelpas attīstībai Jelgavā''</t>
  </si>
  <si>
    <t>05.401. Projekts ''Īpaši aizsargājamās dabas teritorijas - dabas lieguma ''Lielupes palienes pļavas'' dabas aizsardzības plāna aktualizēšana''</t>
  </si>
  <si>
    <t>04.918. INTERREG Baltijas jūras reģiona programmas projekts ''Jaunuzņēmumi (START-UP) saules energokopienām''</t>
  </si>
  <si>
    <t>04.744. ERAF projekts ''Pilssalas ielas degradētās teritorijas sakārtošana''</t>
  </si>
  <si>
    <t>04.738. Latvijas - Lietuvas pārrobežu sadarbības programmas projekts ''Kopīga pārrobežu tūrisma piedāvājuma ''Saules ceļš'' izveide''</t>
  </si>
  <si>
    <t>01.116. Projekts - ''Ēkas Pasta ielā 32, Jelgavā, pārbūve par dzimtsarakstu nodaļu''</t>
  </si>
  <si>
    <t>01.113. Projekts - ''Komunikācija ar sabiedrību tās iesaistei pašvaldības lēmumu pieņemšanā''</t>
  </si>
  <si>
    <t>01. JELGAVAS VALSTSPILSĒTAS PAŠVALDĪBAS IESTĀDE ''CENTRĀLĀ PĀRVALDE''</t>
  </si>
  <si>
    <t>Resursu plāns 2024.gadam</t>
  </si>
  <si>
    <t>Naudas līdzekļu atlikums uz 31.12.2023.</t>
  </si>
  <si>
    <t>Izdevumu plāns 2024.gadam</t>
  </si>
  <si>
    <t>JELGAVAS VALSTSPILSĒTAS PAŠVALDĪBAS 2024. GADA ZIEDOJUMU UN DĀVINĀJUMU BUDŽETS ATŠIFRĒJUMĀ PA PROGRAMMĀM UN EKONOMISKĀS KLASIFIKĀCIJAS KODIEM</t>
  </si>
  <si>
    <t>2026.gads</t>
  </si>
  <si>
    <t>%</t>
  </si>
  <si>
    <t xml:space="preserve"> Saistību īpatsvars bez priekšfinansējuma atmaksām</t>
  </si>
  <si>
    <t xml:space="preserve"> Saistību īpatsvars</t>
  </si>
  <si>
    <t>SAISTĪBAS KOPĀ:</t>
  </si>
  <si>
    <t xml:space="preserve">Kopā procentu maksājumi         </t>
  </si>
  <si>
    <t xml:space="preserve">Kopā pamatsummu maksājumi         </t>
  </si>
  <si>
    <t>PAVISAM KOPĀ:</t>
  </si>
  <si>
    <t>Pašu ieņēmumi saistību īpatsvara aprēķinam</t>
  </si>
  <si>
    <t>Galvojumu līgumsumma kopā</t>
  </si>
  <si>
    <t>Galvojumu saistības kopā</t>
  </si>
  <si>
    <t>-</t>
  </si>
  <si>
    <t>Nr.2023005217/G-2</t>
  </si>
  <si>
    <t>Pamatsumma</t>
  </si>
  <si>
    <t>03.08.2023.-25.07.2030.</t>
  </si>
  <si>
    <t>SIA "Jelgavas komunālie pakalpojumi" - projektam "Bioloģiski noārdāmo atkritumu pārstrādes laukuma izbūve" un ERAF projektam "Tādu bioloģiski noārdāmo atkritumu pārstrādes iekārtu izveide poligonā "Brakšķi', kas izmanto anaerobo pārstrādes metodi" (03.08.2023. aizdevuma līgumam Nr.2023005217</t>
  </si>
  <si>
    <t>AS "SEB banka"</t>
  </si>
  <si>
    <t>G/22/147</t>
  </si>
  <si>
    <t>10.06.2022.-20.05.2042.</t>
  </si>
  <si>
    <t>Galvojums SIA "Jelgavas Poliklīnika" norobežojošo konstrukciju energoefektivitātes paaugstināšana (10.06.2022.aizdevuma līgums Nr.1/1/22/148)</t>
  </si>
  <si>
    <t>Valsts kase</t>
  </si>
  <si>
    <t>G/22/20</t>
  </si>
  <si>
    <t>10.02.2022.- 20.01.2042.</t>
  </si>
  <si>
    <t>Galvojums SIA "Jelgavas Poliklīnika" norobežojošo konstrukciju energoefektivitātes paaugstināšana (10.02.2022.aizdevuma līgums Nr.1/1/22/21)</t>
  </si>
  <si>
    <t>G/20/86</t>
  </si>
  <si>
    <t>16.03.2020.-21.02.2050.</t>
  </si>
  <si>
    <t>Galvojums SIA "Jelgavas ūdens" - Kohēzijas fonda līdzfinansētā projekta "Ūdensapgādes un kanalizācijas pakalpojumu attīstība Jelgavā, V kārta" īstenošanai (16.03.2020.aizdevuma līgums Nr.A/1/20/85)</t>
  </si>
  <si>
    <t>G/13/1206</t>
  </si>
  <si>
    <t>18.12.2013. - 20.12.2030.</t>
  </si>
  <si>
    <t>Galvojums SIA "Jelgavas ūdens" - Kohēzijas fonda līdzfinansētā projekta "Ūdensapgādes un kanalizācijas pakalpojumu attīstība Jelgavā, III kārta" īstenošanai (18.12.2013.aizdevuma līgums Nr.A/1/13/1205)</t>
  </si>
  <si>
    <t>G/10/1026</t>
  </si>
  <si>
    <t>03.12.2010. - 20.12.2030.</t>
  </si>
  <si>
    <t>Galvojums SIA "Jelgavas ūdens" - Kohēzijas fonda līdzfinansētā projekta "Ūdensapgādes un kanalizācijas pakalpojumu attīstība Jelgavā, II kārta" īstenošanai (03.12.2020.aizdevuma līgums Nr.A/1/10/1025)</t>
  </si>
  <si>
    <t>Galvojumi:</t>
  </si>
  <si>
    <t>Kopējo saistību pieaugums pret iepriekšējo gadu</t>
  </si>
  <si>
    <t>Procentu maksājumu pieaugums pret iepriekšējo gadu</t>
  </si>
  <si>
    <t>Pamatsummu pieaugums pret iepriekšējo gadu</t>
  </si>
  <si>
    <t xml:space="preserve">KOPĀ pamatsummu maksājumi         </t>
  </si>
  <si>
    <t>Pamatsummu atmaksa 2023.g. pēc grafika</t>
  </si>
  <si>
    <t>Plānotās priekšfinansējuma atmaksas uz 20.02.2024</t>
  </si>
  <si>
    <t>Priekšfinansējuma atmaksas uz 30.01.2024.</t>
  </si>
  <si>
    <t>Aizņēmumu līgumsumma kopā</t>
  </si>
  <si>
    <t>Aizņēmumu saistības kopā</t>
  </si>
  <si>
    <t>projekts</t>
  </si>
  <si>
    <t>F</t>
  </si>
  <si>
    <t>Projekts "Lielupes tilta balstu zemūdens remontdarbu veikšana"</t>
  </si>
  <si>
    <t>EKII projekts "Siltumnīcefekta gāzu emisiju samazināšana Jelgavas valstspilsētas pašvaldības publisko teritoriju apgaismojuma infrastruktūrā"</t>
  </si>
  <si>
    <t>Prioritārais - ERAF projekts "Pilssalas ielas degradētās teritorijas sakārtošana"</t>
  </si>
  <si>
    <t>A2/1/23/481</t>
  </si>
  <si>
    <t>18.12.2023.-20.11.2036.</t>
  </si>
  <si>
    <t>731F</t>
  </si>
  <si>
    <t>Projekts "Jelgavas valstspilsētas pašvaldības izglītības iestādes "Jelgavas Pārlielupes pamatskola" jumta seguma nomaiņa"</t>
  </si>
  <si>
    <t>4.152% (F)</t>
  </si>
  <si>
    <t>A2/1/23/472</t>
  </si>
  <si>
    <t>17.11.2023.-20.10.2028.</t>
  </si>
  <si>
    <t>730F</t>
  </si>
  <si>
    <t>Būvprojekta "Jelgavas Spīdolas Valsts ģimnāzijas bibliotēkas jaunbūves, sporta stadiona pārbūves un teritorijas labiekārtošana" izstrāde</t>
  </si>
  <si>
    <t>4.915% (F)</t>
  </si>
  <si>
    <t>A2/1/23/471</t>
  </si>
  <si>
    <t>17.11.2023.-20.10.2053.</t>
  </si>
  <si>
    <t>729F</t>
  </si>
  <si>
    <t>Projekts “Jelgavas valstspilsētas pašvaldības izglītības iestādes “Jelgavas Centra pamatskolas” stadiona pārbūve”</t>
  </si>
  <si>
    <t>A2/1/23/469</t>
  </si>
  <si>
    <t>14.11.2023.-20.10.2053.</t>
  </si>
  <si>
    <t>728F</t>
  </si>
  <si>
    <t>Projekts "2., 3. līnijas un Nameja ielas posma pārbūve, Jelgavā"</t>
  </si>
  <si>
    <t>A2/1/23/468</t>
  </si>
  <si>
    <t>08.11.2023.-20.10.2046</t>
  </si>
  <si>
    <t>727F</t>
  </si>
  <si>
    <t>Projekts "Pirmsskolas izglītības iestādes "Kamolītis" telpu vienkāršotā atjaunošana un virtuves iekārtu piegāde, uzstādīšana"</t>
  </si>
  <si>
    <t>A2/1/23/467</t>
  </si>
  <si>
    <t>08.11.2023.-20.10.2041.</t>
  </si>
  <si>
    <t>726F</t>
  </si>
  <si>
    <t>Projekts "Jelgavas Centra pamatskola" telpu vienkāršotā atjaunošana un virtuves iekārtu piegāde, uzstādīšana"</t>
  </si>
  <si>
    <t>A2/1/23/466</t>
  </si>
  <si>
    <t>08.11.2023.-20.10.2043.</t>
  </si>
  <si>
    <t>725F</t>
  </si>
  <si>
    <t>Projekts "Pirmsskolas izglītības iestādes "Sprīdītis" garāžas un palīgtelpu pārbūve  par PII grupas telpām Skolas ielā "2, Jelgavā"</t>
  </si>
  <si>
    <t>A2/1/23/465</t>
  </si>
  <si>
    <t>724F</t>
  </si>
  <si>
    <t>Projekts "Jelgavas valstspilsētas pašvaldības pirmsskolas izglītības iestādes "Gaismiņa" katlu mājas pārbūve par saimniecības ēku"</t>
  </si>
  <si>
    <t>A2/1/23/417</t>
  </si>
  <si>
    <t>05.10.2023.-20.09.2053.</t>
  </si>
  <si>
    <t>723F</t>
  </si>
  <si>
    <t>Projekts "Iebraucamā ceļa pārbūve no Zirgu ielas līdz Jelgavas 4.sākumskolai"</t>
  </si>
  <si>
    <t>5.04% (F)</t>
  </si>
  <si>
    <t>A2/1/23/416</t>
  </si>
  <si>
    <t>722F</t>
  </si>
  <si>
    <t>ERAF projekts "Sabiedrībā balstītu sociālo pakalpojumu infrastruktūras izveide, Jelgavā"</t>
  </si>
  <si>
    <t>A2/1/23/303</t>
  </si>
  <si>
    <t>15.08.2023.-20.07.2053.</t>
  </si>
  <si>
    <t>Projekts "Aizsargu ielas seguma atjaunošana"</t>
  </si>
  <si>
    <t>A2/1/23/268</t>
  </si>
  <si>
    <t>A2/1/23/260</t>
  </si>
  <si>
    <t>10.08.2023.-20.07.2053.</t>
  </si>
  <si>
    <t>Prioritārais investīciju projekts "Jelgavas Bērnu un jaunatnes sporta skolas infrastruktūras attīstība"</t>
  </si>
  <si>
    <t>A2/1/23/253</t>
  </si>
  <si>
    <t>09.08.2023.-20.07.2046.</t>
  </si>
  <si>
    <t>A2/1/23/136</t>
  </si>
  <si>
    <t>09.06.2023.-20.05.2053.</t>
  </si>
  <si>
    <t xml:space="preserve">ERAF projekts "Mācību vides uzlabošana Jelgavas Valsts ģimnāzijā un Jelgavas Tehnoloģiju vidusskolā" </t>
  </si>
  <si>
    <t>A2/1/23/108</t>
  </si>
  <si>
    <t>18.05.2023.-20.04.2033.</t>
  </si>
  <si>
    <t xml:space="preserve">ERAF projekts Jelgavas pilsētas pašvaldības izglītības iestādes  “Jelgavas Tehnoloģiju vidusskola” energoefektivitātes paaugstināšana” </t>
  </si>
  <si>
    <t>A2/1/23/69</t>
  </si>
  <si>
    <t>06.04.2023.-20.03.2043.</t>
  </si>
  <si>
    <t>ERAF projekts (Nr.4.2.2.0/21/A/040) "Jelgavas pamatskolas "Valdeka"-attīstības centra skolas ēkas energoefektivitātes paaugstināšana"</t>
  </si>
  <si>
    <t>A2/1/23/68</t>
  </si>
  <si>
    <t>06.04.2023.-20.12.2036.</t>
  </si>
  <si>
    <t>ERAF projekts (Nr.4.2.2.0/20/I/003) "Daudzfunkcionālā sociālo pakalpojumu centra Zirgu ielā 47A, Jelgavā energoefektivitātes paaugstināšana"</t>
  </si>
  <si>
    <t>A2/1/23/67</t>
  </si>
  <si>
    <t>06.04.2023.-20.03.2028.</t>
  </si>
  <si>
    <t>Latvijas – Lietuvas pārrobežu sadarbības programmas projekta (Nr.LLI-464) "Kopīga pārrobežu tūrisma piedāvājuma "Saules ceļš" izveide"</t>
  </si>
  <si>
    <t>A2/1/23/66</t>
  </si>
  <si>
    <t>06.04.2023.-20.03.2033.</t>
  </si>
  <si>
    <t>ERAF projekts (Nr.4.2.2.0/21/A/039) "Ēkas daļas Svētes ielā 33, Jelgavā, energoefektivitātes paaugstināšana" (ZRKAC)</t>
  </si>
  <si>
    <t>A2/1/23/44</t>
  </si>
  <si>
    <t>28.03.2023.-20.03.2053.</t>
  </si>
  <si>
    <t>A2/1/22/548</t>
  </si>
  <si>
    <t>02.12.2022.-20.11.2052.</t>
  </si>
  <si>
    <t>A2/1/22/442</t>
  </si>
  <si>
    <t>18.10.2022.-20.09.2032.</t>
  </si>
  <si>
    <t>Projekts "Jelgavas valstspilsētas pašvaldības pirmsskolas izglītības iestādes "Zemenīte" žoga atjaunošana" (COVID)</t>
  </si>
  <si>
    <t>A2/1/22/441</t>
  </si>
  <si>
    <t>Projekts "Jelgavas valstspilsētas pašvaldības pirmsskolas izglītības iestādes "Zemenīte" iekštelpu remontdarbi" (COVID)</t>
  </si>
  <si>
    <t>A2/1/22/440</t>
  </si>
  <si>
    <t>Projekts "Jelgavas valstspilsētas pašvaldības pirmsskolas izglītības iestādes "Vārpiņa" iekštelpu remontdarbi" (COVID)</t>
  </si>
  <si>
    <t>A2/1/22/439</t>
  </si>
  <si>
    <t>Projekts "Jelgavas valstspilsētas pašvaldības pirmsskolas izglītības iestādes "Lācītis" teritorijas labiekārtošana" (COVID)</t>
  </si>
  <si>
    <t>A2/1/22/438</t>
  </si>
  <si>
    <t>18.10.2022.-20.09.2047..</t>
  </si>
  <si>
    <t>Projekts "Tilta izbūve pār Platones upi Bauskas ielā, Jelgavā" - sadārdzinājums (COVID)</t>
  </si>
  <si>
    <t>A2/1/22/396</t>
  </si>
  <si>
    <t>20.09.2022.-20.06.2052.</t>
  </si>
  <si>
    <t>ERAF projekts "Mācību vides uzlabošana Jelgavas Valsts ģimnāzijā un Jelgavas Tehnoloģiju vidusskolā"</t>
  </si>
  <si>
    <t>A2/1/22/313</t>
  </si>
  <si>
    <t>17.08.2022.-21.07.2042.</t>
  </si>
  <si>
    <t>Projekts "Jelgavas valstspilsētas pašvaldības iestādes "Jelgavas izglītības pārvalde" ēkas telpu vienkāršotā atjaunošana" (COVID)</t>
  </si>
  <si>
    <t>A2/1/22/312</t>
  </si>
  <si>
    <t>Prioritārais investīciju projekts "Lifta izbūve Jelgavas pilsētas bibliotēkā" (sadārdzinājums)</t>
  </si>
  <si>
    <t>A2/1/22/154</t>
  </si>
  <si>
    <t>27.06.2022-20.03.2052.</t>
  </si>
  <si>
    <t>A2/1/22/119</t>
  </si>
  <si>
    <t>27.05.2022.-20.05.2042.</t>
  </si>
  <si>
    <t>ERAF projekts “Jelgavas pašvaldības operatīvās informācijas centra ēkas Sarmas ielā 4 energoefektivitātes paaugstināšana”</t>
  </si>
  <si>
    <t>A2/1/22/93</t>
  </si>
  <si>
    <t>10.05.2022.-20.03.2052.</t>
  </si>
  <si>
    <t>Prioritārais projekts "Jelgavas 4.sākumskolas automašīnu stāvlaukuma paplašināšana, teritorijas daļēja labiekārtošana, satiksmes drošības uzlabošana"</t>
  </si>
  <si>
    <t>A2/1/22/92</t>
  </si>
  <si>
    <t>10.05.2022-20.03.2042.</t>
  </si>
  <si>
    <t>ERAF projekts "Daudzfunkcionālā sociālo pakalpojumu centra ēkas Zirgu ielā 47a, Jelgavā, energoefektivitātes paaugstināšana"</t>
  </si>
  <si>
    <t>A2/1/22/61</t>
  </si>
  <si>
    <t>28.03.2022.-20.03.2052.</t>
  </si>
  <si>
    <t>ERAF projekta "Kultūras mantojuma saglabāšana un attīstība Jelgavas pilsētā"</t>
  </si>
  <si>
    <t>A2/1/22/59</t>
  </si>
  <si>
    <t>28.03.2022.-20.03.2042.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</si>
  <si>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</si>
  <si>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A2/1/22/58</t>
  </si>
  <si>
    <t>Prioritārais investīciju projekts "Lifta izbūve Jelgavas pilsētas bibliotēkā"</t>
  </si>
  <si>
    <t>A2/1/21/774</t>
  </si>
  <si>
    <t>23.12.2021.-21.12.2026.</t>
  </si>
  <si>
    <t>Būvprojektu “Miera ielas un esošā Miera ielas, Aizsargu ielas un Bauskas ielas rotācijas apļa pārbūve, Jelgavā”, “Aizsargu ielas pārbūve, Jelgavā” un “Bauskas ielas pārbūve, Jelgavā” izstrāde (COVID)</t>
  </si>
  <si>
    <t>A2/1/21/717</t>
  </si>
  <si>
    <t>26.11.2021.-20.09.2046.</t>
  </si>
  <si>
    <t>Projekts "Tilta izbūve pār Platones upi Bauskas ielā, Jelgavā" (COVID)</t>
  </si>
  <si>
    <t>A2/1/21/716</t>
  </si>
  <si>
    <t>26.11.2021-20.11.2026.</t>
  </si>
  <si>
    <t>Būvprojekta "Industriālā parka ielu infrastruktūras izveide Jelgavā" izstrāde (COVID)</t>
  </si>
  <si>
    <t>A2/1/21/649</t>
  </si>
  <si>
    <t>27.10.2021.-21.10.2041.</t>
  </si>
  <si>
    <t>Projekts "Jaunrades nama "Junda" struktūrvienības "Lediņi" telpu vienkāršota atjaunošana, gāzes apgāde un teritorijas labiekārtošana, Lediņu ceļā 1, Jelgavā" (COVID)</t>
  </si>
  <si>
    <t>A2/1/21/648</t>
  </si>
  <si>
    <t>Pašvaldības prioritārais investīciju projekts "Jaunrades nama "Junda" struktūrvienības "Lediņi" telpu vienkāršota atjaunošana, gāzes apgāde un teritorijas labiekārtošana, Lediņu ceļā 1, Jelgavā"</t>
  </si>
  <si>
    <t>A2/1/21/558</t>
  </si>
  <si>
    <t>29.09.2021.-22.09.2031.</t>
  </si>
  <si>
    <t>A2/1/21/513</t>
  </si>
  <si>
    <t>27.08.2021-20.08.2041.</t>
  </si>
  <si>
    <t>ERAF projekts "Tehniskās infrastruktūras sakārtošana uzņēmējdarbības attīstībai degradētajā teritorijā, 3.kārta”</t>
  </si>
  <si>
    <t>A2/1/21/499</t>
  </si>
  <si>
    <t>26.08.2021.-20.06.2051.</t>
  </si>
  <si>
    <t>A2/1/21/498</t>
  </si>
  <si>
    <t>26.08.2021.-20.08.2041.</t>
  </si>
  <si>
    <t>A2/1/21/497</t>
  </si>
  <si>
    <t>KF projekts "Videi draudzīgas sabiedriskā transporta infrastruktūras attīstība Jelgavā" - Riska likme</t>
  </si>
  <si>
    <t>A2/1/21/496</t>
  </si>
  <si>
    <t>Projekts "Jelgavas pilsētas pašvaldības pirmsskolas izglītības iestādes "Pasaciņa" virtuves telpu atjaunošana"</t>
  </si>
  <si>
    <t>A2/1/21/424</t>
  </si>
  <si>
    <t>28.07.2021. - 22.07.2041.</t>
  </si>
  <si>
    <t>A2/1/21/423</t>
  </si>
  <si>
    <t>28.07.2021. - 20.07.2051.</t>
  </si>
  <si>
    <t>Projekts "Īres dzīvokļu izveidošana Stacijas ielā 13, Jelgavā"</t>
  </si>
  <si>
    <t>A2/1/21/261</t>
  </si>
  <si>
    <t>01.06.2021- 20.03.2051.</t>
  </si>
  <si>
    <t>ERAF projekts "Tehniskās infrastruktūras sakārtošana uzņēmējdarbības attīstībai degradētajā teritorijā, 2.kārta"</t>
  </si>
  <si>
    <t>A2/1/21/121</t>
  </si>
  <si>
    <t>08.04.2021.-20.03.2051.</t>
  </si>
  <si>
    <t>A2/1/20/846</t>
  </si>
  <si>
    <t>03.12.2020.-20.11.2050.</t>
  </si>
  <si>
    <t>ERAF projekts “Jelgavas pilsētas pašvaldības policijas ēkas energoefektivitātes paaugstināšana”</t>
  </si>
  <si>
    <t>A2/1/20/683</t>
  </si>
  <si>
    <t>02.10.2020.- 20.06.2040.</t>
  </si>
  <si>
    <t>Projekts "Gājēju ietves izbūve Kalnciema ceļa posmam no Rīgas ielas līdz Loka maģistrālei"</t>
  </si>
  <si>
    <t>A2/1/20/682</t>
  </si>
  <si>
    <t>02.10.2020.-20.09.2040.</t>
  </si>
  <si>
    <t>Projekts "Asfaltbetona seguma atjaunošana Ruļļu ielas posmā no Salnas ielas līdz Viskaļu ielai"</t>
  </si>
  <si>
    <t>A2/1/20/681</t>
  </si>
  <si>
    <t>02.10.2020.- 20.06.2050.</t>
  </si>
  <si>
    <t>Projekts "Pirmsskolas izglītības iestādes Brīvības bulvārī 31A, Jelgavā, būvniecība"</t>
  </si>
  <si>
    <t>A2/1/20/569</t>
  </si>
  <si>
    <t>20.08.2020.-20.06.2050.</t>
  </si>
  <si>
    <t>EKII projekts "Siltumnīcefekta gāzu emisiju samazināšana ar viedajām pilsētvides tehnoloģijām Jelgavā"</t>
  </si>
  <si>
    <t>A2/1/20/502</t>
  </si>
  <si>
    <t>04.08.2020.-20.07.2040.</t>
  </si>
  <si>
    <t>Projekts "Satiksmes ielas posma no Meiju ceļa līdz Ganību ielai braucamās daļas seguma atjaunošana”</t>
  </si>
  <si>
    <t>A2/1/20/501</t>
  </si>
  <si>
    <t>Projekts "Romas ielas asfaltbetona seguma izbūve no Turaidas ielas līdz pilsētas administratīvajai robežai"</t>
  </si>
  <si>
    <t>A2/1/19/340</t>
  </si>
  <si>
    <t>18.09.2019.-22.03.2049.</t>
  </si>
  <si>
    <t>VB līdzfinansēts projekts "Miera ielas un Aizsargu ielas asfalta seguma atjaunošana un tilta pār Platones upi pārbūve"</t>
  </si>
  <si>
    <t>A2/1/19/339</t>
  </si>
  <si>
    <t>ERAF projekts "Tehniskās infrastruktūras sakārtošana uzņēmējdarbības attīstībai degradētajā teritorijā, 1.kārta"</t>
  </si>
  <si>
    <t>A2/1/19/337</t>
  </si>
  <si>
    <t>KF projekts "Loka maģistrāles pārbūve posmā no Kalnciema ceļa līdz Jelgavas administratīvajai robežai"</t>
  </si>
  <si>
    <t>A2/1/19/231</t>
  </si>
  <si>
    <t>19.06.2019.- 22.03.2049.</t>
  </si>
  <si>
    <t>ERAF projekts "Kompleksu pasākumu īstenošana Svētes upes caurplūdes atjaunošanai un plūdu apdraudējuma samazināšanai piegulošajās teritorijās"</t>
  </si>
  <si>
    <t>A2/1/19/156</t>
  </si>
  <si>
    <t>17.05.2019.- 22.03.2049.</t>
  </si>
  <si>
    <t>ERAF projekts "Jelgavas Amatu vidusskolas infrastruktūras uzlabošana un mācību aprīkojuma modernizācija, 2.kārta"</t>
  </si>
  <si>
    <t>A2/1/19/84</t>
  </si>
  <si>
    <t>02.04.2019.- 22.03.2049.</t>
  </si>
  <si>
    <t>ERAF projekts "Jelgavas lidlauka poldera dambja pārbūve plūdu draudu novēršanai"</t>
  </si>
  <si>
    <t>A2/1/18/899</t>
  </si>
  <si>
    <t>19.12.2018. - 20.09.2038.</t>
  </si>
  <si>
    <t>Kultūras iestāžu investīciju projekts "Jelgavas Kultūras nama ēkas fasādes, pamatu vertikālās hidroizolācijas atjaunošana un teritorijas sakārtošana"</t>
  </si>
  <si>
    <t>A2/1/18/891</t>
  </si>
  <si>
    <t>18.12.2018. - 20.09.2028.</t>
  </si>
  <si>
    <t>Lat -Lit pārrobežu sadarbības projekts "Tehniskās bāzes un operatīvo dienestu speciālistu fiziskās kapacitātes uzlabošana Latvijas un Lietuvas pierobežas reģionā (All for safety)"</t>
  </si>
  <si>
    <t>A2/1/18/736</t>
  </si>
  <si>
    <t>22.10.2018. -20.09.2047.</t>
  </si>
  <si>
    <t>SIA "Jelgavas ūdens" pamatkapitāla palielināšanai projektam "Ūdenssaimniecības pakalpojumu attīstība Jelgavā, V kārta"</t>
  </si>
  <si>
    <t>A2/1/18/709</t>
  </si>
  <si>
    <t>10.10.2018. -20.09.2038.</t>
  </si>
  <si>
    <t>Pašvaldības prioritārais investīciju projekts "Jelgavas Kultūras nama ēkas fasādes, pamatu vertikālās hidroizolācijas atjaunošana un teritorijas sakārtošana"</t>
  </si>
  <si>
    <t>A2/1/18/604</t>
  </si>
  <si>
    <t>30.08.2018. - 20.06.2038.</t>
  </si>
  <si>
    <t>Izglītības iestādes investīciju projekts "Jelgavas pilsētas pašvaldības pirmsskolas izglītības iestādes "Gaismiņa" telpu vienkāršota atjaunošana"</t>
  </si>
  <si>
    <t>A2/1/18/603</t>
  </si>
  <si>
    <t>30.08.2018. - 20.06.2028</t>
  </si>
  <si>
    <t>Latvijas -  Lietuvas pārrobežu sadarbības programmas projekts "Civilās aizsardzības sistēmas pilnveidošana Jelgavas un Šauļu pilsētās (C-System)</t>
  </si>
  <si>
    <t>A2/1/18/602</t>
  </si>
  <si>
    <t>30.08.2018.- 20.06.2038.</t>
  </si>
  <si>
    <t>Projekts "Jelgavas Valsts ģimnāzijas pārbūves papilddarbi"</t>
  </si>
  <si>
    <t>A2/1/18/543</t>
  </si>
  <si>
    <t>07.08.2018.- 22.03.2038.</t>
  </si>
  <si>
    <t>Projekts "Asfaltbetona seguma izbūve Romas ielā posmā no Zemeņu ielas līdz Turaidas ielai"</t>
  </si>
  <si>
    <t>A2/1/18/542</t>
  </si>
  <si>
    <t>07.08.2018.- 20.03.2048.</t>
  </si>
  <si>
    <t>ERAF projekts ""Jelgavas pilsētas pašvaldības ēkas Zemgales prospekts 7 energoefektivitātes paaugstināšana" II kārta"</t>
  </si>
  <si>
    <t>A2/1/18/541</t>
  </si>
  <si>
    <t>07.08.2018.- 20.06.2048.</t>
  </si>
  <si>
    <t>Valsts budžeta līdzfinansēta kultūras iestādes investīciju projekta "Publiskās slidotavas un brīvdabas estrādes Pasta salā jumtu pārsegumu projektēšana, izbūve un autoruzraudzība" pabeigšanai</t>
  </si>
  <si>
    <t>A2/1/18/436</t>
  </si>
  <si>
    <t>05.07.2018.-20.03.2048.</t>
  </si>
  <si>
    <t>A2/1/18/435</t>
  </si>
  <si>
    <t>Pašvaldības izglītības iestāžu investīciju projekts "Jelgavas pilsētas pašvaldības ēkas Zemgales prospekts 7 pārbūve un jaunais būvapjoms (piebūve)", I un III kārta ("Junda" izvietošanai)</t>
  </si>
  <si>
    <t>A2/1/18/434</t>
  </si>
  <si>
    <t>05.07.2018.-20.03.2038.</t>
  </si>
  <si>
    <t>Pašvaldības izglītības iestāžu investīciju projekts "Jelgavas 2.internātpamatskolas rekonstrukcija 2.kārta"</t>
  </si>
  <si>
    <t>A2/1/18/296</t>
  </si>
  <si>
    <t>01.06.2018.-20.03.2048.</t>
  </si>
  <si>
    <t>ERAF projekts "Jelgavas pilsētas pašvaldības PII "Sprīdītis" energoefektivitātes paaugstināšana"</t>
  </si>
  <si>
    <t>A2/1/18/92</t>
  </si>
  <si>
    <t>08.03.2018.-20.11.2037.</t>
  </si>
  <si>
    <t>Projekts "Muzeja jumta skārda seguma nomaiņa un bēniņu pārseguma siltināšana"</t>
  </si>
  <si>
    <t>A2/1/17/774</t>
  </si>
  <si>
    <t>25.10.2017.-20.10.2037.</t>
  </si>
  <si>
    <t>Projekts "Asfaltbetona seguma atjaunošana, lietus ūdens kanalizācijas un ūdensvada tīklu nomaiņa Akadēmijas ielas posmā no Raiņa līdz Lielai ielai"</t>
  </si>
  <si>
    <t>A2/1/17/633</t>
  </si>
  <si>
    <t>31.08.2017.-20.08.2037.</t>
  </si>
  <si>
    <t>Izglītības iestāžu investīciju projekts "Jelgavas pilsētas PPII "Rotaļa" ēkas rekonstrukcija"</t>
  </si>
  <si>
    <t>A2/1/17/632</t>
  </si>
  <si>
    <t>31.08.2017.-20.03.2047.</t>
  </si>
  <si>
    <t>SIA "Jelgavas ūdens" pamatkapitāla palielināšana projekta "Ūdenssaimniecības pakalpojumu attīstība Jelgavā, V kārta" īstenošanai</t>
  </si>
  <si>
    <t>A2/1/17/588</t>
  </si>
  <si>
    <t>10.08.2017.-20.11.2036.</t>
  </si>
  <si>
    <t xml:space="preserve">Izglītības iestāžu investīciju projekts  "Jelgavas 1.internātpamatskolas jumta konstrukciju nomaiņa" </t>
  </si>
  <si>
    <t>A2/1/17/465</t>
  </si>
  <si>
    <t>03.07.2017.-20.11.2036.</t>
  </si>
  <si>
    <t>Izglītības iestāžu investīciju projekts "Jelgavas pilsētas PPII "Zemenīte" telpu pārbūve"</t>
  </si>
  <si>
    <t>A2/1/17/467</t>
  </si>
  <si>
    <t>Projekts "Atmodas ielas posma no Dobeles šosejas līdz Dambja ielai asfalta seguma atjaunošana"</t>
  </si>
  <si>
    <t>A2/1/17/365</t>
  </si>
  <si>
    <t>07.06.2017.-20.11.2036.</t>
  </si>
  <si>
    <t>Prioritārais projekts "Jelgavas kultūras nama iekšējo komunikāciju atjaunošana"</t>
  </si>
  <si>
    <t>A2/1/17/364</t>
  </si>
  <si>
    <t>07.06.2017.-20.03.2047.</t>
  </si>
  <si>
    <t>A2/1/15/569</t>
  </si>
  <si>
    <t>02.10.2015.-20.09.2035.</t>
  </si>
  <si>
    <t>Projekts "Energoefektīvu risinājumu piemērošana ilgtspējīgām ēkām Jelgavā - sporta halle"</t>
  </si>
  <si>
    <t>A2/1/15/322</t>
  </si>
  <si>
    <t>18.06.2015.- 20.06.2035.</t>
  </si>
  <si>
    <t>Projekts "Jelgavas izglītības pārvaldes ēkas jumta rekonstrukcija"</t>
  </si>
  <si>
    <t>Valsts Kase</t>
  </si>
  <si>
    <t>A2/1/15/241</t>
  </si>
  <si>
    <t>20.05.2015. - 20.05.2035.</t>
  </si>
  <si>
    <t>Projekts "Siltumnīcefektu gāzu emisiju samazināšana" (Pilsētsaimniecība)</t>
  </si>
  <si>
    <t>A2/1/15/14</t>
  </si>
  <si>
    <t>23.01.2015. - 22.01.2035.</t>
  </si>
  <si>
    <t>Projekts "Jelgavas pilsētas PPII Skautu ielā 1 rekonstrukcijas darbi"</t>
  </si>
  <si>
    <t>A2/1/15/13</t>
  </si>
  <si>
    <t>23.01.2015. - 22.01.2035</t>
  </si>
  <si>
    <t>Projekts "Jelgavas 1.internātpamatskolas rekonstrukcijas darbi"</t>
  </si>
  <si>
    <t>A2/1/18/441</t>
  </si>
  <si>
    <t>06.07.2018.-20.11.2034.</t>
  </si>
  <si>
    <t>Saistību pārjaunojums - izmaiņas</t>
  </si>
  <si>
    <t>1.1.</t>
  </si>
  <si>
    <t>Investīciju projektu īstenošanai (saistību pārjaunojums)</t>
  </si>
  <si>
    <t>% likme</t>
  </si>
  <si>
    <t>SAISTĪBAS KOPĀ</t>
  </si>
  <si>
    <t>2039-2054</t>
  </si>
  <si>
    <t>Maksājumi</t>
  </si>
  <si>
    <t>Atmaksas periods</t>
  </si>
  <si>
    <t>Aizdevuma summa</t>
  </si>
  <si>
    <t>STR</t>
  </si>
  <si>
    <t>Mērķis</t>
  </si>
  <si>
    <t xml:space="preserve">Aizņēmuma līgums </t>
  </si>
  <si>
    <t>Nr. p.k</t>
  </si>
  <si>
    <r>
      <t xml:space="preserve"> JELGAVAS VALSTSPILSĒTAS PAŠVALDĪBAS ILGTERMIŅA SAISTĪBAS, </t>
    </r>
    <r>
      <rPr>
        <b/>
        <i/>
        <sz val="14"/>
        <rFont val="Times New Roman"/>
        <family val="1"/>
      </rPr>
      <t>euro</t>
    </r>
  </si>
  <si>
    <t>5. pielikums</t>
  </si>
  <si>
    <t>saistošajiem noteikumiem  Nr. 24-1</t>
  </si>
  <si>
    <t>20.02.2024. prot. Nr. 2/13</t>
  </si>
  <si>
    <t xml:space="preserve">JELGAVAS VALSTSPILSĒTAS PAŠVALDĪBAS 2024. GADA BUDŽETS  </t>
  </si>
  <si>
    <r>
      <t xml:space="preserve">Jelgavas valstspilsētas pašvaldības domes priekšsēdētājs </t>
    </r>
    <r>
      <rPr>
        <i/>
        <sz val="12"/>
        <rFont val="Times New Roman"/>
        <family val="1"/>
      </rPr>
      <t>A. Rāviņš</t>
    </r>
  </si>
  <si>
    <r>
      <t xml:space="preserve">Jelgavas valstspilsētas pašvaldības domes priekšsēdētājs </t>
    </r>
    <r>
      <rPr>
        <i/>
        <sz val="12"/>
        <rFont val="Times New Roman Baltic"/>
        <family val="1"/>
      </rPr>
      <t>A. Rāviņš</t>
    </r>
  </si>
  <si>
    <t>20.02.2023. prot. Nr. 2/13</t>
  </si>
  <si>
    <t>saistošajiem noteikumiem Nr. 24-1</t>
  </si>
  <si>
    <t>4. pielikums</t>
  </si>
  <si>
    <t>saistošjiem noteikumiem Nr. 24-1</t>
  </si>
  <si>
    <t>JELGAVAS VALSTSPILSĒTAS PAŠVALDĪBAS 2023. GADA PAMATBUDŽETS ATŠIFRĒJUMĀ PA PROGRAMMĀM UN EKONOMISKĀS KLASIFIKĀCIJAS KODIEM</t>
  </si>
  <si>
    <r>
      <t xml:space="preserve">Jelgavas valstspilsētas pašvaldības domes priekšsēdētājs </t>
    </r>
    <r>
      <rPr>
        <i/>
        <sz val="10"/>
        <rFont val="Arial"/>
        <family val="2"/>
      </rPr>
      <t>A. Rāviņš</t>
    </r>
  </si>
  <si>
    <r>
      <t xml:space="preserve">Jelgavas valstspilsētas pašvaldības domes priekšsēdētājs </t>
    </r>
    <r>
      <rPr>
        <i/>
        <sz val="9"/>
        <rFont val="Arial"/>
        <family val="2"/>
      </rPr>
      <t>A. Rāviņš</t>
    </r>
  </si>
  <si>
    <t>6. pielikums</t>
  </si>
  <si>
    <t>Jelgavas valstspilsētas pašvaldības 2024. gada ziedojumu un dāvinājumu budžeta kopsavilkums</t>
  </si>
  <si>
    <t xml:space="preserve"> 2. pielikums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</si>
</sst>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%"/>
    <numFmt numFmtId="173" formatCode="_-* #,##0\ _L_s_-;\-* #,##0\ _L_s_-;_-* &quot;-&quot;??\ _L_s_-;_-@_-"/>
    <numFmt numFmtId="174" formatCode="#,##0.00_ ;\-#,##0.00\ 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 Baltic"/>
      <family val="0"/>
    </font>
    <font>
      <i/>
      <sz val="12"/>
      <name val="Times New Roman"/>
      <family val="1"/>
    </font>
    <font>
      <b/>
      <sz val="11"/>
      <name val="Times New Roman Baltic"/>
      <family val="1"/>
    </font>
    <font>
      <sz val="1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i/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b/>
      <sz val="13"/>
      <color indexed="10"/>
      <name val="Arial"/>
      <family val="2"/>
    </font>
    <font>
      <sz val="14"/>
      <color indexed="10"/>
      <name val="Arial"/>
      <family val="2"/>
    </font>
    <font>
      <sz val="16"/>
      <color indexed="10"/>
      <name val="Times New Roman Baltic"/>
      <family val="1"/>
    </font>
    <font>
      <sz val="10"/>
      <color indexed="10"/>
      <name val="Times New Roman Baltic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i/>
      <sz val="11"/>
      <color indexed="10"/>
      <name val="Times New Roman Baltic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0"/>
      <color indexed="10"/>
      <name val="Arial"/>
      <family val="2"/>
    </font>
    <font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2"/>
      <name val="Times New Roman Baltic"/>
      <family val="1"/>
    </font>
    <font>
      <i/>
      <sz val="12"/>
      <name val="Times New Roman Baltic"/>
      <family val="1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3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Times New Roman Baltic"/>
      <family val="1"/>
    </font>
    <font>
      <sz val="10"/>
      <color rgb="FFFF0000"/>
      <name val="Times New Roman Baltic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i/>
      <sz val="11"/>
      <color rgb="FFFF0000"/>
      <name val="Times New Roman Baltic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10"/>
      <color rgb="FFFF0000"/>
      <name val="Arial"/>
      <family val="2"/>
    </font>
    <font>
      <i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/>
      <right style="thin"/>
      <top style="thin"/>
      <bottom style="double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/>
      <top/>
      <bottom/>
    </border>
    <border>
      <left style="hair"/>
      <right style="hair"/>
      <top style="thin">
        <color theme="0" tint="-0.24993999302387238"/>
      </top>
      <bottom style="thin"/>
    </border>
    <border>
      <left style="hair"/>
      <right style="hair"/>
      <top style="thin"/>
      <bottom style="thin">
        <color theme="0" tint="-0.24993999302387238"/>
      </bottom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>
        <color theme="0" tint="-0.24993999302387238"/>
      </top>
      <bottom/>
    </border>
    <border>
      <left style="hair"/>
      <right style="hair"/>
      <top/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32" borderId="7" applyNumberFormat="0" applyFont="0" applyAlignment="0" applyProtection="0"/>
    <xf numFmtId="0" fontId="98" fillId="27" borderId="8" applyNumberFormat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6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02" fillId="0" borderId="0" xfId="0" applyFont="1" applyAlignment="1">
      <alignment/>
    </xf>
    <xf numFmtId="0" fontId="10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102" fillId="0" borderId="0" xfId="0" applyFont="1" applyFill="1" applyAlignment="1">
      <alignment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103" fillId="0" borderId="0" xfId="0" applyFont="1" applyBorder="1" applyAlignment="1">
      <alignment/>
    </xf>
    <xf numFmtId="0" fontId="10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02" fillId="0" borderId="0" xfId="0" applyFont="1" applyAlignment="1">
      <alignment wrapText="1"/>
    </xf>
    <xf numFmtId="3" fontId="102" fillId="0" borderId="0" xfId="0" applyNumberFormat="1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04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3" fontId="104" fillId="0" borderId="0" xfId="0" applyNumberFormat="1" applyFont="1" applyAlignment="1">
      <alignment/>
    </xf>
    <xf numFmtId="0" fontId="107" fillId="0" borderId="0" xfId="0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3" fontId="11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112" fillId="0" borderId="0" xfId="0" applyFont="1" applyAlignment="1">
      <alignment/>
    </xf>
    <xf numFmtId="0" fontId="102" fillId="0" borderId="0" xfId="0" applyFont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13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2"/>
    </xf>
    <xf numFmtId="0" fontId="114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14" fillId="0" borderId="0" xfId="0" applyFont="1" applyFill="1" applyAlignment="1">
      <alignment/>
    </xf>
    <xf numFmtId="0" fontId="113" fillId="0" borderId="0" xfId="0" applyFont="1" applyBorder="1" applyAlignment="1">
      <alignment/>
    </xf>
    <xf numFmtId="0" fontId="112" fillId="0" borderId="0" xfId="0" applyFont="1" applyBorder="1" applyAlignment="1">
      <alignment/>
    </xf>
    <xf numFmtId="3" fontId="115" fillId="0" borderId="10" xfId="0" applyNumberFormat="1" applyFont="1" applyFill="1" applyBorder="1" applyAlignment="1">
      <alignment horizontal="center" vertical="center"/>
    </xf>
    <xf numFmtId="3" fontId="116" fillId="0" borderId="10" xfId="0" applyNumberFormat="1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/>
    </xf>
    <xf numFmtId="0" fontId="113" fillId="0" borderId="0" xfId="0" applyFont="1" applyFill="1" applyAlignment="1">
      <alignment/>
    </xf>
    <xf numFmtId="0" fontId="102" fillId="0" borderId="0" xfId="0" applyFont="1" applyAlignment="1">
      <alignment horizontal="center"/>
    </xf>
    <xf numFmtId="3" fontId="102" fillId="0" borderId="0" xfId="0" applyNumberFormat="1" applyFont="1" applyAlignment="1">
      <alignment/>
    </xf>
    <xf numFmtId="0" fontId="112" fillId="0" borderId="0" xfId="0" applyFont="1" applyAlignment="1">
      <alignment/>
    </xf>
    <xf numFmtId="3" fontId="102" fillId="0" borderId="0" xfId="0" applyNumberFormat="1" applyFont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59" applyFont="1">
      <alignment/>
      <protection/>
    </xf>
    <xf numFmtId="0" fontId="117" fillId="0" borderId="0" xfId="64" applyFont="1" applyAlignment="1">
      <alignment wrapText="1"/>
      <protection/>
    </xf>
    <xf numFmtId="0" fontId="117" fillId="0" borderId="0" xfId="64" applyFont="1" applyAlignment="1">
      <alignment vertical="center"/>
      <protection/>
    </xf>
    <xf numFmtId="0" fontId="117" fillId="0" borderId="0" xfId="64" applyFont="1">
      <alignment/>
      <protection/>
    </xf>
    <xf numFmtId="0" fontId="2" fillId="0" borderId="10" xfId="64" applyFont="1" applyBorder="1" applyAlignment="1">
      <alignment vertical="center"/>
      <protection/>
    </xf>
    <xf numFmtId="0" fontId="5" fillId="35" borderId="10" xfId="64" applyFont="1" applyFill="1" applyBorder="1" applyAlignment="1">
      <alignment vertical="center"/>
      <protection/>
    </xf>
    <xf numFmtId="0" fontId="112" fillId="0" borderId="0" xfId="64" applyFont="1" applyFill="1" applyBorder="1" applyAlignment="1">
      <alignment vertical="center"/>
      <protection/>
    </xf>
    <xf numFmtId="0" fontId="113" fillId="0" borderId="0" xfId="64" applyFont="1" applyFill="1" applyBorder="1" applyAlignment="1">
      <alignment horizontal="left" wrapText="1"/>
      <protection/>
    </xf>
    <xf numFmtId="0" fontId="113" fillId="0" borderId="0" xfId="64" applyFont="1" applyFill="1" applyBorder="1" applyAlignment="1">
      <alignment horizontal="left" vertical="center" wrapText="1"/>
      <protection/>
    </xf>
    <xf numFmtId="3" fontId="113" fillId="0" borderId="0" xfId="64" applyNumberFormat="1" applyFont="1" applyFill="1" applyBorder="1" applyAlignment="1">
      <alignment vertical="center"/>
      <protection/>
    </xf>
    <xf numFmtId="0" fontId="112" fillId="0" borderId="0" xfId="64" applyFont="1" applyAlignment="1">
      <alignment vertical="center"/>
      <protection/>
    </xf>
    <xf numFmtId="0" fontId="112" fillId="0" borderId="0" xfId="64" applyFont="1" applyAlignment="1">
      <alignment wrapText="1"/>
      <protection/>
    </xf>
    <xf numFmtId="0" fontId="112" fillId="0" borderId="0" xfId="64" applyFont="1">
      <alignment/>
      <protection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0" xfId="64" applyFont="1" applyFill="1" applyBorder="1" applyAlignment="1">
      <alignment horizontal="center" vertical="center" wrapText="1"/>
      <protection/>
    </xf>
    <xf numFmtId="0" fontId="14" fillId="0" borderId="0" xfId="59" applyFont="1">
      <alignment/>
      <protection/>
    </xf>
    <xf numFmtId="0" fontId="9" fillId="0" borderId="0" xfId="59" applyFont="1" applyBorder="1">
      <alignment/>
      <protection/>
    </xf>
    <xf numFmtId="0" fontId="116" fillId="0" borderId="10" xfId="0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wrapText="1" indent="2"/>
    </xf>
    <xf numFmtId="0" fontId="3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4" fillId="0" borderId="0" xfId="59" applyFont="1">
      <alignment/>
      <protection/>
    </xf>
    <xf numFmtId="3" fontId="104" fillId="0" borderId="0" xfId="59" applyNumberFormat="1" applyFont="1">
      <alignment/>
      <protection/>
    </xf>
    <xf numFmtId="0" fontId="112" fillId="0" borderId="0" xfId="59" applyFont="1" applyAlignment="1">
      <alignment vertical="center" wrapText="1"/>
      <protection/>
    </xf>
    <xf numFmtId="0" fontId="102" fillId="0" borderId="0" xfId="59" applyFont="1">
      <alignment/>
      <protection/>
    </xf>
    <xf numFmtId="0" fontId="102" fillId="0" borderId="0" xfId="59" applyFont="1" applyAlignment="1">
      <alignment horizontal="right"/>
      <protection/>
    </xf>
    <xf numFmtId="0" fontId="103" fillId="0" borderId="0" xfId="59" applyFont="1">
      <alignment/>
      <protection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 wrapText="1"/>
    </xf>
    <xf numFmtId="3" fontId="3" fillId="13" borderId="10" xfId="64" applyNumberFormat="1" applyFont="1" applyFill="1" applyBorder="1" applyAlignment="1">
      <alignment horizontal="right" vertical="center"/>
      <protection/>
    </xf>
    <xf numFmtId="3" fontId="3" fillId="13" borderId="10" xfId="64" applyNumberFormat="1" applyFont="1" applyFill="1" applyBorder="1" applyAlignment="1">
      <alignment horizontal="right" vertical="center" wrapText="1"/>
      <protection/>
    </xf>
    <xf numFmtId="3" fontId="4" fillId="0" borderId="10" xfId="64" applyNumberFormat="1" applyFont="1" applyBorder="1" applyAlignment="1">
      <alignment horizontal="right" vertical="center"/>
      <protection/>
    </xf>
    <xf numFmtId="3" fontId="18" fillId="0" borderId="10" xfId="64" applyNumberFormat="1" applyFont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10" fillId="35" borderId="10" xfId="64" applyFont="1" applyFill="1" applyBorder="1" applyAlignment="1">
      <alignment horizontal="right" wrapText="1"/>
      <protection/>
    </xf>
    <xf numFmtId="3" fontId="10" fillId="35" borderId="10" xfId="64" applyNumberFormat="1" applyFont="1" applyFill="1" applyBorder="1" applyAlignment="1">
      <alignment horizontal="right" vertical="center"/>
      <protection/>
    </xf>
    <xf numFmtId="3" fontId="2" fillId="0" borderId="10" xfId="64" applyNumberFormat="1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 indent="2"/>
    </xf>
    <xf numFmtId="0" fontId="116" fillId="7" borderId="10" xfId="0" applyFont="1" applyFill="1" applyBorder="1" applyAlignment="1">
      <alignment horizontal="right" vertical="center" wrapText="1"/>
    </xf>
    <xf numFmtId="0" fontId="116" fillId="7" borderId="10" xfId="0" applyFont="1" applyFill="1" applyBorder="1" applyAlignment="1">
      <alignment horizontal="left" vertical="center" wrapText="1" indent="2"/>
    </xf>
    <xf numFmtId="3" fontId="115" fillId="7" borderId="10" xfId="0" applyNumberFormat="1" applyFont="1" applyFill="1" applyBorder="1" applyAlignment="1">
      <alignment horizontal="center" vertical="center"/>
    </xf>
    <xf numFmtId="3" fontId="116" fillId="7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116" fillId="7" borderId="10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left"/>
    </xf>
    <xf numFmtId="3" fontId="18" fillId="0" borderId="10" xfId="0" applyNumberFormat="1" applyFont="1" applyBorder="1" applyAlignment="1">
      <alignment horizontal="center" vertical="center"/>
    </xf>
    <xf numFmtId="0" fontId="116" fillId="7" borderId="10" xfId="0" applyFont="1" applyFill="1" applyBorder="1" applyAlignment="1">
      <alignment horizontal="left" wrapText="1" indent="2"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vertical="center" wrapText="1"/>
    </xf>
    <xf numFmtId="3" fontId="103" fillId="7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 indent="2"/>
    </xf>
    <xf numFmtId="0" fontId="21" fillId="0" borderId="10" xfId="0" applyFont="1" applyFill="1" applyBorder="1" applyAlignment="1">
      <alignment horizontal="left" vertical="center" wrapText="1" indent="1"/>
    </xf>
    <xf numFmtId="49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103" fillId="7" borderId="10" xfId="0" applyFont="1" applyFill="1" applyBorder="1" applyAlignment="1">
      <alignment vertical="center" wrapText="1"/>
    </xf>
    <xf numFmtId="0" fontId="103" fillId="7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10" fillId="34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0" fillId="0" borderId="0" xfId="58" applyFont="1">
      <alignment/>
      <protection/>
    </xf>
    <xf numFmtId="0" fontId="14" fillId="0" borderId="0" xfId="58" applyFont="1">
      <alignment/>
      <protection/>
    </xf>
    <xf numFmtId="0" fontId="14" fillId="3" borderId="0" xfId="58" applyFont="1" applyFill="1">
      <alignment/>
      <protection/>
    </xf>
    <xf numFmtId="0" fontId="0" fillId="3" borderId="0" xfId="58" applyFont="1" applyFill="1">
      <alignment/>
      <protection/>
    </xf>
    <xf numFmtId="0" fontId="14" fillId="0" borderId="0" xfId="58" applyFont="1" applyFill="1">
      <alignment/>
      <protection/>
    </xf>
    <xf numFmtId="0" fontId="3" fillId="0" borderId="0" xfId="58" applyFont="1" applyFill="1" applyAlignment="1">
      <alignment horizontal="left" vertical="top" wrapText="1"/>
      <protection/>
    </xf>
    <xf numFmtId="0" fontId="14" fillId="0" borderId="0" xfId="0" applyFont="1" applyFill="1" applyAlignment="1">
      <alignment horizontal="left" vertical="top" wrapText="1"/>
    </xf>
    <xf numFmtId="3" fontId="3" fillId="0" borderId="0" xfId="58" applyNumberFormat="1" applyFont="1" applyFill="1" applyAlignment="1">
      <alignment horizontal="right" vertical="top" wrapText="1"/>
      <protection/>
    </xf>
    <xf numFmtId="0" fontId="0" fillId="0" borderId="0" xfId="58" applyFont="1" applyFill="1">
      <alignment/>
      <protection/>
    </xf>
    <xf numFmtId="0" fontId="5" fillId="0" borderId="0" xfId="59" applyFont="1" applyAlignment="1">
      <alignment vertical="center"/>
      <protection/>
    </xf>
    <xf numFmtId="0" fontId="5" fillId="0" borderId="0" xfId="59" applyFont="1" applyAlignment="1">
      <alignment/>
      <protection/>
    </xf>
    <xf numFmtId="0" fontId="5" fillId="37" borderId="0" xfId="59" applyFont="1" applyFill="1" applyAlignment="1">
      <alignment horizontal="right" vertical="top" wrapText="1"/>
      <protection/>
    </xf>
    <xf numFmtId="0" fontId="5" fillId="0" borderId="0" xfId="0" applyFont="1" applyAlignment="1">
      <alignment horizontal="right" vertical="center"/>
    </xf>
    <xf numFmtId="0" fontId="5" fillId="0" borderId="0" xfId="64" applyFont="1" applyAlignment="1">
      <alignment wrapText="1"/>
      <protection/>
    </xf>
    <xf numFmtId="0" fontId="5" fillId="0" borderId="0" xfId="0" applyFont="1" applyFill="1" applyBorder="1" applyAlignment="1">
      <alignment horizontal="right" vertical="center"/>
    </xf>
    <xf numFmtId="0" fontId="112" fillId="0" borderId="0" xfId="64" applyFont="1" applyAlignment="1">
      <alignment horizontal="right" vertical="center"/>
      <protection/>
    </xf>
    <xf numFmtId="0" fontId="22" fillId="0" borderId="0" xfId="59" applyFont="1" applyAlignment="1">
      <alignment vertical="center"/>
      <protection/>
    </xf>
    <xf numFmtId="0" fontId="9" fillId="0" borderId="0" xfId="59" applyFont="1" applyAlignment="1">
      <alignment horizontal="center" vertical="center"/>
      <protection/>
    </xf>
    <xf numFmtId="0" fontId="22" fillId="0" borderId="0" xfId="58" applyFont="1">
      <alignment/>
      <protection/>
    </xf>
    <xf numFmtId="0" fontId="8" fillId="35" borderId="10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2" fillId="37" borderId="0" xfId="58" applyFont="1" applyFill="1" applyAlignment="1">
      <alignment horizontal="left" vertical="top" wrapText="1"/>
      <protection/>
    </xf>
    <xf numFmtId="3" fontId="2" fillId="37" borderId="0" xfId="58" applyNumberFormat="1" applyFont="1" applyFill="1" applyAlignment="1">
      <alignment horizontal="right" vertical="top" wrapText="1"/>
      <protection/>
    </xf>
    <xf numFmtId="0" fontId="5" fillId="37" borderId="0" xfId="58" applyFont="1" applyFill="1" applyAlignment="1">
      <alignment horizontal="right" vertical="top" wrapText="1"/>
      <protection/>
    </xf>
    <xf numFmtId="0" fontId="114" fillId="0" borderId="0" xfId="0" applyFont="1" applyAlignment="1">
      <alignment vertical="center"/>
    </xf>
    <xf numFmtId="0" fontId="103" fillId="0" borderId="10" xfId="0" applyFont="1" applyFill="1" applyBorder="1" applyAlignment="1">
      <alignment/>
    </xf>
    <xf numFmtId="3" fontId="103" fillId="0" borderId="0" xfId="0" applyNumberFormat="1" applyFont="1" applyAlignment="1">
      <alignment/>
    </xf>
    <xf numFmtId="0" fontId="104" fillId="0" borderId="0" xfId="0" applyFont="1" applyAlignment="1">
      <alignment horizontal="left" vertical="top" wrapText="1"/>
    </xf>
    <xf numFmtId="3" fontId="117" fillId="0" borderId="0" xfId="64" applyNumberFormat="1" applyFont="1" applyAlignment="1">
      <alignment vertical="center"/>
      <protection/>
    </xf>
    <xf numFmtId="0" fontId="104" fillId="0" borderId="0" xfId="58" applyFont="1">
      <alignment/>
      <protection/>
    </xf>
    <xf numFmtId="0" fontId="104" fillId="0" borderId="0" xfId="58" applyFont="1" applyFill="1">
      <alignment/>
      <protection/>
    </xf>
    <xf numFmtId="0" fontId="104" fillId="0" borderId="0" xfId="58" applyFont="1" applyAlignment="1">
      <alignment vertical="center"/>
      <protection/>
    </xf>
    <xf numFmtId="0" fontId="118" fillId="0" borderId="0" xfId="58" applyFont="1">
      <alignment/>
      <protection/>
    </xf>
    <xf numFmtId="0" fontId="102" fillId="37" borderId="0" xfId="58" applyFont="1" applyFill="1" applyAlignment="1">
      <alignment horizontal="left" vertical="top" wrapText="1"/>
      <protection/>
    </xf>
    <xf numFmtId="3" fontId="102" fillId="37" borderId="0" xfId="58" applyNumberFormat="1" applyFont="1" applyFill="1" applyAlignment="1">
      <alignment horizontal="right" vertical="top" wrapText="1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6" fillId="7" borderId="10" xfId="0" applyFont="1" applyFill="1" applyBorder="1" applyAlignment="1">
      <alignment horizontal="right" vertical="center"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left" vertical="center" wrapText="1" indent="2"/>
    </xf>
    <xf numFmtId="3" fontId="18" fillId="7" borderId="10" xfId="0" applyNumberFormat="1" applyFont="1" applyFill="1" applyBorder="1" applyAlignment="1">
      <alignment horizontal="center" vertical="center"/>
    </xf>
    <xf numFmtId="3" fontId="4" fillId="7" borderId="10" xfId="0" applyNumberFormat="1" applyFont="1" applyFill="1" applyBorder="1" applyAlignment="1">
      <alignment horizontal="center" vertical="center"/>
    </xf>
    <xf numFmtId="3" fontId="19" fillId="7" borderId="10" xfId="0" applyNumberFormat="1" applyFont="1" applyFill="1" applyBorder="1" applyAlignment="1">
      <alignment horizontal="center" vertical="center"/>
    </xf>
    <xf numFmtId="0" fontId="116" fillId="7" borderId="10" xfId="0" applyFont="1" applyFill="1" applyBorder="1" applyAlignment="1">
      <alignment horizontal="right" vertical="center" wrapText="1"/>
    </xf>
    <xf numFmtId="0" fontId="119" fillId="7" borderId="10" xfId="0" applyFont="1" applyFill="1" applyBorder="1" applyAlignment="1">
      <alignment horizontal="left" vertical="center" wrapText="1" indent="2"/>
    </xf>
    <xf numFmtId="3" fontId="3" fillId="7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7" fillId="9" borderId="10" xfId="0" applyFont="1" applyFill="1" applyBorder="1" applyAlignment="1">
      <alignment vertical="center"/>
    </xf>
    <xf numFmtId="0" fontId="16" fillId="9" borderId="10" xfId="0" applyFont="1" applyFill="1" applyBorder="1" applyAlignment="1">
      <alignment horizontal="center" vertical="center" wrapText="1"/>
    </xf>
    <xf numFmtId="3" fontId="16" fillId="9" borderId="10" xfId="0" applyNumberFormat="1" applyFont="1" applyFill="1" applyBorder="1" applyAlignment="1">
      <alignment horizontal="center" vertical="center"/>
    </xf>
    <xf numFmtId="0" fontId="6" fillId="37" borderId="0" xfId="59" applyFont="1" applyFill="1" applyAlignment="1">
      <alignment horizontal="right" vertical="top" wrapText="1"/>
      <protection/>
    </xf>
    <xf numFmtId="3" fontId="3" fillId="37" borderId="0" xfId="59" applyNumberFormat="1" applyFont="1" applyFill="1" applyAlignment="1">
      <alignment horizontal="right" vertical="top" wrapText="1"/>
      <protection/>
    </xf>
    <xf numFmtId="3" fontId="2" fillId="37" borderId="0" xfId="59" applyNumberFormat="1" applyFont="1" applyFill="1" applyAlignment="1">
      <alignment horizontal="right" vertical="top" wrapText="1"/>
      <protection/>
    </xf>
    <xf numFmtId="0" fontId="0" fillId="3" borderId="0" xfId="59" applyFont="1" applyFill="1">
      <alignment/>
      <protection/>
    </xf>
    <xf numFmtId="0" fontId="10" fillId="37" borderId="10" xfId="61" applyFont="1" applyFill="1" applyBorder="1" applyAlignment="1">
      <alignment horizontal="center" vertical="center" wrapText="1"/>
      <protection/>
    </xf>
    <xf numFmtId="0" fontId="0" fillId="0" borderId="0" xfId="61" applyFont="1">
      <alignment/>
      <protection/>
    </xf>
    <xf numFmtId="0" fontId="0" fillId="0" borderId="0" xfId="0" applyFont="1" applyAlignment="1">
      <alignment horizontal="left" vertical="top" wrapText="1"/>
    </xf>
    <xf numFmtId="0" fontId="5" fillId="0" borderId="0" xfId="59" applyFont="1" applyBorder="1">
      <alignment/>
      <protection/>
    </xf>
    <xf numFmtId="0" fontId="5" fillId="0" borderId="0" xfId="59" applyFont="1" applyFill="1" applyAlignment="1">
      <alignment horizontal="right"/>
      <protection/>
    </xf>
    <xf numFmtId="0" fontId="2" fillId="0" borderId="0" xfId="59" applyFont="1" applyFill="1" applyBorder="1" applyAlignment="1">
      <alignment horizontal="right"/>
      <protection/>
    </xf>
    <xf numFmtId="0" fontId="10" fillId="35" borderId="10" xfId="59" applyFont="1" applyFill="1" applyBorder="1" applyAlignment="1">
      <alignment horizontal="center" vertical="center"/>
      <protection/>
    </xf>
    <xf numFmtId="0" fontId="10" fillId="35" borderId="11" xfId="59" applyFont="1" applyFill="1" applyBorder="1" applyAlignment="1">
      <alignment horizontal="center" vertical="center"/>
      <protection/>
    </xf>
    <xf numFmtId="0" fontId="10" fillId="13" borderId="0" xfId="59" applyFont="1" applyFill="1" applyAlignment="1">
      <alignment horizontal="center"/>
      <protection/>
    </xf>
    <xf numFmtId="0" fontId="10" fillId="13" borderId="10" xfId="59" applyFont="1" applyFill="1" applyBorder="1" applyAlignment="1">
      <alignment horizontal="center" vertical="center" wrapText="1"/>
      <protection/>
    </xf>
    <xf numFmtId="3" fontId="10" fillId="13" borderId="10" xfId="59" applyNumberFormat="1" applyFont="1" applyFill="1" applyBorder="1">
      <alignment/>
      <protection/>
    </xf>
    <xf numFmtId="0" fontId="5" fillId="0" borderId="10" xfId="59" applyFont="1" applyBorder="1">
      <alignment/>
      <protection/>
    </xf>
    <xf numFmtId="0" fontId="5" fillId="0" borderId="10" xfId="59" applyFont="1" applyBorder="1" applyAlignment="1">
      <alignment vertical="center" wrapText="1"/>
      <protection/>
    </xf>
    <xf numFmtId="3" fontId="5" fillId="0" borderId="10" xfId="59" applyNumberFormat="1" applyFont="1" applyFill="1" applyBorder="1" applyAlignment="1">
      <alignment horizontal="right" vertical="center"/>
      <protection/>
    </xf>
    <xf numFmtId="0" fontId="10" fillId="13" borderId="10" xfId="59" applyFont="1" applyFill="1" applyBorder="1" applyAlignment="1">
      <alignment horizontal="center"/>
      <protection/>
    </xf>
    <xf numFmtId="3" fontId="10" fillId="13" borderId="10" xfId="59" applyNumberFormat="1" applyFont="1" applyFill="1" applyBorder="1" applyAlignment="1">
      <alignment horizontal="right" vertical="center" wrapText="1"/>
      <protection/>
    </xf>
    <xf numFmtId="0" fontId="5" fillId="0" borderId="10" xfId="59" applyFont="1" applyBorder="1" applyAlignment="1">
      <alignment vertical="center"/>
      <protection/>
    </xf>
    <xf numFmtId="3" fontId="5" fillId="0" borderId="10" xfId="59" applyNumberFormat="1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vertical="center" wrapText="1"/>
      <protection/>
    </xf>
    <xf numFmtId="3" fontId="5" fillId="0" borderId="10" xfId="59" applyNumberFormat="1" applyFont="1" applyBorder="1">
      <alignment/>
      <protection/>
    </xf>
    <xf numFmtId="0" fontId="120" fillId="0" borderId="0" xfId="59" applyFont="1">
      <alignment/>
      <protection/>
    </xf>
    <xf numFmtId="0" fontId="120" fillId="0" borderId="0" xfId="59" applyFont="1" applyAlignment="1">
      <alignment vertical="center"/>
      <protection/>
    </xf>
    <xf numFmtId="0" fontId="120" fillId="0" borderId="0" xfId="59" applyFont="1" applyAlignment="1">
      <alignment horizontal="left" vertical="center" indent="1"/>
      <protection/>
    </xf>
    <xf numFmtId="0" fontId="121" fillId="0" borderId="0" xfId="59" applyFont="1" applyFill="1">
      <alignment/>
      <protection/>
    </xf>
    <xf numFmtId="0" fontId="121" fillId="0" borderId="0" xfId="59" applyFont="1">
      <alignment/>
      <protection/>
    </xf>
    <xf numFmtId="3" fontId="121" fillId="0" borderId="0" xfId="59" applyNumberFormat="1" applyFont="1">
      <alignment/>
      <protection/>
    </xf>
    <xf numFmtId="0" fontId="121" fillId="0" borderId="0" xfId="59" applyFont="1" applyAlignment="1">
      <alignment horizontal="left" indent="1"/>
      <protection/>
    </xf>
    <xf numFmtId="0" fontId="104" fillId="0" borderId="0" xfId="59" applyFont="1" applyFill="1" applyBorder="1">
      <alignment/>
      <protection/>
    </xf>
    <xf numFmtId="0" fontId="121" fillId="0" borderId="0" xfId="66" applyFont="1" applyBorder="1" applyProtection="1">
      <alignment/>
      <protection locked="0"/>
    </xf>
    <xf numFmtId="0" fontId="121" fillId="0" borderId="0" xfId="66" applyFont="1" applyProtection="1">
      <alignment/>
      <protection locked="0"/>
    </xf>
    <xf numFmtId="0" fontId="121" fillId="0" borderId="0" xfId="59" applyFont="1" applyAlignment="1">
      <alignment horizontal="right"/>
      <protection/>
    </xf>
    <xf numFmtId="0" fontId="120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10" fontId="23" fillId="0" borderId="0" xfId="59" applyNumberFormat="1" applyFont="1">
      <alignment/>
      <protection/>
    </xf>
    <xf numFmtId="0" fontId="23" fillId="0" borderId="0" xfId="59" applyFont="1">
      <alignment/>
      <protection/>
    </xf>
    <xf numFmtId="0" fontId="23" fillId="0" borderId="0" xfId="59" applyFont="1" applyAlignment="1">
      <alignment vertical="center"/>
      <protection/>
    </xf>
    <xf numFmtId="0" fontId="23" fillId="0" borderId="0" xfId="59" applyFont="1" applyAlignment="1">
      <alignment horizontal="left" vertical="center" indent="1"/>
      <protection/>
    </xf>
    <xf numFmtId="0" fontId="24" fillId="0" borderId="0" xfId="59" applyFont="1" applyFill="1">
      <alignment/>
      <protection/>
    </xf>
    <xf numFmtId="0" fontId="24" fillId="0" borderId="0" xfId="59" applyFont="1">
      <alignment/>
      <protection/>
    </xf>
    <xf numFmtId="0" fontId="11" fillId="0" borderId="0" xfId="59" applyFont="1" applyFill="1" applyBorder="1">
      <alignment/>
      <protection/>
    </xf>
    <xf numFmtId="10" fontId="11" fillId="0" borderId="0" xfId="59" applyNumberFormat="1" applyFont="1">
      <alignment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11" fillId="0" borderId="0" xfId="59" applyFont="1" applyAlignment="1">
      <alignment horizontal="left" vertical="center" indent="1"/>
      <protection/>
    </xf>
    <xf numFmtId="0" fontId="5" fillId="0" borderId="0" xfId="59" applyFont="1" applyFill="1">
      <alignment/>
      <protection/>
    </xf>
    <xf numFmtId="0" fontId="5" fillId="0" borderId="0" xfId="59" applyFont="1">
      <alignment/>
      <protection/>
    </xf>
    <xf numFmtId="4" fontId="23" fillId="0" borderId="0" xfId="59" applyNumberFormat="1" applyFont="1">
      <alignment/>
      <protection/>
    </xf>
    <xf numFmtId="0" fontId="24" fillId="0" borderId="0" xfId="59" applyFont="1" applyBorder="1" applyAlignment="1">
      <alignment wrapText="1"/>
      <protection/>
    </xf>
    <xf numFmtId="0" fontId="25" fillId="38" borderId="10" xfId="59" applyFont="1" applyFill="1" applyBorder="1" applyAlignment="1">
      <alignment horizontal="center" vertical="center"/>
      <protection/>
    </xf>
    <xf numFmtId="10" fontId="25" fillId="38" borderId="10" xfId="69" applyNumberFormat="1" applyFont="1" applyFill="1" applyBorder="1" applyAlignment="1">
      <alignment horizontal="center" vertical="center"/>
    </xf>
    <xf numFmtId="0" fontId="25" fillId="39" borderId="10" xfId="59" applyFont="1" applyFill="1" applyBorder="1" applyAlignment="1">
      <alignment horizontal="center"/>
      <protection/>
    </xf>
    <xf numFmtId="0" fontId="24" fillId="38" borderId="10" xfId="59" applyFont="1" applyFill="1" applyBorder="1" applyAlignment="1">
      <alignment/>
      <protection/>
    </xf>
    <xf numFmtId="10" fontId="24" fillId="39" borderId="10" xfId="70" applyNumberFormat="1" applyFont="1" applyFill="1" applyBorder="1" applyAlignment="1">
      <alignment horizontal="center"/>
    </xf>
    <xf numFmtId="4" fontId="25" fillId="13" borderId="12" xfId="59" applyNumberFormat="1" applyFont="1" applyFill="1" applyBorder="1" applyAlignment="1">
      <alignment horizontal="center" vertical="center"/>
      <protection/>
    </xf>
    <xf numFmtId="0" fontId="25" fillId="13" borderId="12" xfId="59" applyFont="1" applyFill="1" applyBorder="1" applyAlignment="1">
      <alignment horizontal="center"/>
      <protection/>
    </xf>
    <xf numFmtId="4" fontId="25" fillId="13" borderId="11" xfId="59" applyNumberFormat="1" applyFont="1" applyFill="1" applyBorder="1" applyAlignment="1">
      <alignment horizontal="center" vertical="center"/>
      <protection/>
    </xf>
    <xf numFmtId="0" fontId="24" fillId="39" borderId="11" xfId="59" applyFont="1" applyFill="1" applyBorder="1" applyAlignment="1">
      <alignment horizontal="center"/>
      <protection/>
    </xf>
    <xf numFmtId="4" fontId="25" fillId="13" borderId="10" xfId="59" applyNumberFormat="1" applyFont="1" applyFill="1" applyBorder="1" applyAlignment="1">
      <alignment horizontal="center" vertical="center"/>
      <protection/>
    </xf>
    <xf numFmtId="0" fontId="26" fillId="0" borderId="0" xfId="59" applyFont="1" applyAlignment="1">
      <alignment vertical="center"/>
      <protection/>
    </xf>
    <xf numFmtId="0" fontId="25" fillId="0" borderId="0" xfId="59" applyFont="1" applyAlignment="1">
      <alignment horizontal="left" vertical="center" indent="1"/>
      <protection/>
    </xf>
    <xf numFmtId="0" fontId="104" fillId="0" borderId="0" xfId="59" applyFont="1" applyFill="1">
      <alignment/>
      <protection/>
    </xf>
    <xf numFmtId="0" fontId="120" fillId="0" borderId="0" xfId="59" applyFont="1" applyFill="1">
      <alignment/>
      <protection/>
    </xf>
    <xf numFmtId="4" fontId="120" fillId="0" borderId="0" xfId="59" applyNumberFormat="1" applyFont="1" applyFill="1">
      <alignment/>
      <protection/>
    </xf>
    <xf numFmtId="0" fontId="120" fillId="0" borderId="0" xfId="59" applyFont="1" applyFill="1" applyAlignment="1">
      <alignment vertical="center"/>
      <protection/>
    </xf>
    <xf numFmtId="0" fontId="120" fillId="0" borderId="0" xfId="59" applyFont="1" applyFill="1" applyAlignment="1">
      <alignment horizontal="left" vertical="center" indent="1"/>
      <protection/>
    </xf>
    <xf numFmtId="4" fontId="122" fillId="0" borderId="0" xfId="59" applyNumberFormat="1" applyFont="1" applyFill="1" applyBorder="1" applyAlignment="1">
      <alignment horizontal="center" vertical="center"/>
      <protection/>
    </xf>
    <xf numFmtId="4" fontId="121" fillId="0" borderId="0" xfId="59" applyNumberFormat="1" applyFont="1" applyFill="1" applyBorder="1" applyAlignment="1">
      <alignment horizontal="center" vertical="center"/>
      <protection/>
    </xf>
    <xf numFmtId="0" fontId="121" fillId="0" borderId="0" xfId="59" applyFont="1" applyFill="1" applyAlignment="1">
      <alignment/>
      <protection/>
    </xf>
    <xf numFmtId="0" fontId="122" fillId="0" borderId="0" xfId="59" applyFont="1" applyFill="1" applyBorder="1" applyAlignment="1">
      <alignment horizontal="left"/>
      <protection/>
    </xf>
    <xf numFmtId="0" fontId="122" fillId="0" borderId="0" xfId="59" applyFont="1" applyFill="1" applyBorder="1" applyAlignment="1">
      <alignment horizontal="left" indent="1"/>
      <protection/>
    </xf>
    <xf numFmtId="173" fontId="122" fillId="0" borderId="0" xfId="59" applyNumberFormat="1" applyFont="1" applyFill="1" applyBorder="1" applyAlignment="1">
      <alignment horizontal="left"/>
      <protection/>
    </xf>
    <xf numFmtId="0" fontId="122" fillId="0" borderId="0" xfId="59" applyFont="1" applyFill="1" applyBorder="1" applyAlignment="1">
      <alignment horizontal="center"/>
      <protection/>
    </xf>
    <xf numFmtId="0" fontId="122" fillId="0" borderId="0" xfId="59" applyFont="1" applyFill="1" applyBorder="1" applyAlignment="1">
      <alignment horizontal="left" vertical="center"/>
      <protection/>
    </xf>
    <xf numFmtId="0" fontId="122" fillId="0" borderId="0" xfId="59" applyFont="1" applyFill="1" applyBorder="1" applyAlignment="1">
      <alignment horizontal="left" vertical="center" indent="1"/>
      <protection/>
    </xf>
    <xf numFmtId="3" fontId="122" fillId="0" borderId="0" xfId="59" applyNumberFormat="1" applyFont="1" applyFill="1" applyBorder="1" applyAlignment="1">
      <alignment horizontal="center"/>
      <protection/>
    </xf>
    <xf numFmtId="0" fontId="121" fillId="0" borderId="0" xfId="59" applyFont="1" applyAlignment="1">
      <alignment/>
      <protection/>
    </xf>
    <xf numFmtId="0" fontId="24" fillId="0" borderId="0" xfId="59" applyFont="1" applyAlignment="1">
      <alignment/>
      <protection/>
    </xf>
    <xf numFmtId="3" fontId="25" fillId="38" borderId="10" xfId="59" applyNumberFormat="1" applyFont="1" applyFill="1" applyBorder="1" applyAlignment="1">
      <alignment horizontal="center"/>
      <protection/>
    </xf>
    <xf numFmtId="0" fontId="25" fillId="0" borderId="0" xfId="59" applyFont="1" applyFill="1" applyBorder="1" applyAlignment="1">
      <alignment horizontal="left"/>
      <protection/>
    </xf>
    <xf numFmtId="174" fontId="25" fillId="38" borderId="10" xfId="59" applyNumberFormat="1" applyFont="1" applyFill="1" applyBorder="1" applyAlignment="1">
      <alignment horizontal="center"/>
      <protection/>
    </xf>
    <xf numFmtId="4" fontId="25" fillId="13" borderId="13" xfId="59" applyNumberFormat="1" applyFont="1" applyFill="1" applyBorder="1" applyAlignment="1">
      <alignment horizontal="center" vertical="center"/>
      <protection/>
    </xf>
    <xf numFmtId="4" fontId="25" fillId="13" borderId="14" xfId="59" applyNumberFormat="1" applyFont="1" applyFill="1" applyBorder="1" applyAlignment="1">
      <alignment horizontal="center" vertical="center"/>
      <protection/>
    </xf>
    <xf numFmtId="0" fontId="25" fillId="13" borderId="14" xfId="59" applyFont="1" applyFill="1" applyBorder="1" applyAlignment="1">
      <alignment horizontal="center"/>
      <protection/>
    </xf>
    <xf numFmtId="0" fontId="25" fillId="13" borderId="15" xfId="59" applyFont="1" applyFill="1" applyBorder="1" applyAlignment="1">
      <alignment horizontal="center"/>
      <protection/>
    </xf>
    <xf numFmtId="4" fontId="25" fillId="39" borderId="16" xfId="59" applyNumberFormat="1" applyFont="1" applyFill="1" applyBorder="1" applyAlignment="1">
      <alignment horizontal="center" vertical="center"/>
      <protection/>
    </xf>
    <xf numFmtId="0" fontId="25" fillId="39" borderId="16" xfId="59" applyFont="1" applyFill="1" applyBorder="1" applyAlignment="1">
      <alignment horizontal="center"/>
      <protection/>
    </xf>
    <xf numFmtId="0" fontId="24" fillId="39" borderId="16" xfId="59" applyFont="1" applyFill="1" applyBorder="1" applyAlignment="1">
      <alignment horizontal="center"/>
      <protection/>
    </xf>
    <xf numFmtId="173" fontId="25" fillId="39" borderId="10" xfId="59" applyNumberFormat="1" applyFont="1" applyFill="1" applyBorder="1" applyAlignment="1">
      <alignment horizontal="center"/>
      <protection/>
    </xf>
    <xf numFmtId="0" fontId="123" fillId="0" borderId="0" xfId="59" applyFont="1" applyFill="1" applyBorder="1">
      <alignment/>
      <protection/>
    </xf>
    <xf numFmtId="4" fontId="121" fillId="7" borderId="17" xfId="59" applyNumberFormat="1" applyFont="1" applyFill="1" applyBorder="1">
      <alignment/>
      <protection/>
    </xf>
    <xf numFmtId="4" fontId="124" fillId="0" borderId="18" xfId="59" applyNumberFormat="1" applyFont="1" applyFill="1" applyBorder="1">
      <alignment/>
      <protection/>
    </xf>
    <xf numFmtId="172" fontId="124" fillId="0" borderId="18" xfId="59" applyNumberFormat="1" applyFont="1" applyFill="1" applyBorder="1" applyAlignment="1">
      <alignment horizontal="center"/>
      <protection/>
    </xf>
    <xf numFmtId="0" fontId="121" fillId="0" borderId="18" xfId="59" applyFont="1" applyFill="1" applyBorder="1" applyAlignment="1">
      <alignment horizontal="center" wrapText="1"/>
      <protection/>
    </xf>
    <xf numFmtId="4" fontId="121" fillId="7" borderId="19" xfId="59" applyNumberFormat="1" applyFont="1" applyFill="1" applyBorder="1">
      <alignment/>
      <protection/>
    </xf>
    <xf numFmtId="4" fontId="124" fillId="0" borderId="20" xfId="59" applyNumberFormat="1" applyFont="1" applyFill="1" applyBorder="1">
      <alignment/>
      <protection/>
    </xf>
    <xf numFmtId="10" fontId="124" fillId="0" borderId="20" xfId="59" applyNumberFormat="1" applyFont="1" applyFill="1" applyBorder="1" applyAlignment="1">
      <alignment horizontal="center"/>
      <protection/>
    </xf>
    <xf numFmtId="0" fontId="121" fillId="0" borderId="20" xfId="59" applyFont="1" applyFill="1" applyBorder="1" applyAlignment="1">
      <alignment horizontal="center" wrapText="1"/>
      <protection/>
    </xf>
    <xf numFmtId="4" fontId="24" fillId="7" borderId="17" xfId="59" applyNumberFormat="1" applyFont="1" applyFill="1" applyBorder="1">
      <alignment/>
      <protection/>
    </xf>
    <xf numFmtId="4" fontId="24" fillId="0" borderId="18" xfId="59" applyNumberFormat="1" applyFont="1" applyFill="1" applyBorder="1">
      <alignment/>
      <protection/>
    </xf>
    <xf numFmtId="172" fontId="24" fillId="0" borderId="18" xfId="59" applyNumberFormat="1" applyFont="1" applyFill="1" applyBorder="1" applyAlignment="1">
      <alignment horizontal="center"/>
      <protection/>
    </xf>
    <xf numFmtId="0" fontId="24" fillId="0" borderId="18" xfId="59" applyFont="1" applyFill="1" applyBorder="1" applyAlignment="1">
      <alignment horizontal="center" vertical="center" wrapText="1"/>
      <protection/>
    </xf>
    <xf numFmtId="0" fontId="24" fillId="0" borderId="18" xfId="59" applyFont="1" applyFill="1" applyBorder="1" applyAlignment="1">
      <alignment horizontal="center" wrapText="1"/>
      <protection/>
    </xf>
    <xf numFmtId="4" fontId="24" fillId="7" borderId="19" xfId="59" applyNumberFormat="1" applyFont="1" applyFill="1" applyBorder="1">
      <alignment/>
      <protection/>
    </xf>
    <xf numFmtId="4" fontId="24" fillId="0" borderId="20" xfId="59" applyNumberFormat="1" applyFont="1" applyFill="1" applyBorder="1">
      <alignment/>
      <protection/>
    </xf>
    <xf numFmtId="10" fontId="24" fillId="0" borderId="20" xfId="59" applyNumberFormat="1" applyFont="1" applyFill="1" applyBorder="1" applyAlignment="1">
      <alignment horizontal="center"/>
      <protection/>
    </xf>
    <xf numFmtId="0" fontId="24" fillId="0" borderId="20" xfId="59" applyFont="1" applyFill="1" applyBorder="1" applyAlignment="1">
      <alignment horizontal="center" vertical="center" wrapText="1"/>
      <protection/>
    </xf>
    <xf numFmtId="0" fontId="24" fillId="0" borderId="20" xfId="59" applyFont="1" applyFill="1" applyBorder="1" applyAlignment="1">
      <alignment horizontal="center" wrapText="1"/>
      <protection/>
    </xf>
    <xf numFmtId="3" fontId="24" fillId="0" borderId="21" xfId="59" applyNumberFormat="1" applyFont="1" applyFill="1" applyBorder="1">
      <alignment/>
      <protection/>
    </xf>
    <xf numFmtId="3" fontId="24" fillId="0" borderId="18" xfId="59" applyNumberFormat="1" applyFont="1" applyFill="1" applyBorder="1">
      <alignment/>
      <protection/>
    </xf>
    <xf numFmtId="3" fontId="24" fillId="0" borderId="22" xfId="59" applyNumberFormat="1" applyFont="1" applyFill="1" applyBorder="1">
      <alignment/>
      <protection/>
    </xf>
    <xf numFmtId="3" fontId="24" fillId="0" borderId="20" xfId="59" applyNumberFormat="1" applyFont="1" applyFill="1" applyBorder="1">
      <alignment/>
      <protection/>
    </xf>
    <xf numFmtId="173" fontId="120" fillId="0" borderId="0" xfId="59" applyNumberFormat="1" applyFont="1">
      <alignment/>
      <protection/>
    </xf>
    <xf numFmtId="0" fontId="120" fillId="0" borderId="0" xfId="59" applyFont="1" applyAlignment="1">
      <alignment/>
      <protection/>
    </xf>
    <xf numFmtId="0" fontId="120" fillId="0" borderId="0" xfId="59" applyFont="1" applyAlignment="1">
      <alignment horizontal="left" indent="1"/>
      <protection/>
    </xf>
    <xf numFmtId="0" fontId="25" fillId="0" borderId="0" xfId="59" applyFont="1" applyAlignment="1">
      <alignment/>
      <protection/>
    </xf>
    <xf numFmtId="0" fontId="122" fillId="0" borderId="0" xfId="59" applyFont="1" applyAlignment="1">
      <alignment/>
      <protection/>
    </xf>
    <xf numFmtId="4" fontId="25" fillId="0" borderId="0" xfId="59" applyNumberFormat="1" applyFont="1" applyBorder="1">
      <alignment/>
      <protection/>
    </xf>
    <xf numFmtId="4" fontId="25" fillId="0" borderId="23" xfId="59" applyNumberFormat="1" applyFont="1" applyBorder="1">
      <alignment/>
      <protection/>
    </xf>
    <xf numFmtId="4" fontId="25" fillId="0" borderId="10" xfId="59" applyNumberFormat="1" applyFont="1" applyBorder="1">
      <alignment/>
      <protection/>
    </xf>
    <xf numFmtId="4" fontId="25" fillId="0" borderId="10" xfId="59" applyNumberFormat="1" applyFont="1" applyBorder="1" applyAlignment="1">
      <alignment horizontal="center"/>
      <protection/>
    </xf>
    <xf numFmtId="171" fontId="121" fillId="0" borderId="0" xfId="59" applyNumberFormat="1" applyFont="1">
      <alignment/>
      <protection/>
    </xf>
    <xf numFmtId="4" fontId="120" fillId="0" borderId="0" xfId="59" applyNumberFormat="1" applyFont="1">
      <alignment/>
      <protection/>
    </xf>
    <xf numFmtId="0" fontId="124" fillId="0" borderId="0" xfId="59" applyFont="1" applyAlignment="1">
      <alignment vertical="top"/>
      <protection/>
    </xf>
    <xf numFmtId="0" fontId="124" fillId="0" borderId="0" xfId="59" applyFont="1" applyAlignment="1">
      <alignment vertical="center"/>
      <protection/>
    </xf>
    <xf numFmtId="0" fontId="121" fillId="0" borderId="0" xfId="59" applyFont="1" applyAlignment="1">
      <alignment vertical="center"/>
      <protection/>
    </xf>
    <xf numFmtId="4" fontId="121" fillId="0" borderId="0" xfId="59" applyNumberFormat="1" applyFont="1" applyBorder="1">
      <alignment/>
      <protection/>
    </xf>
    <xf numFmtId="4" fontId="25" fillId="40" borderId="10" xfId="63" applyNumberFormat="1" applyFont="1" applyFill="1" applyBorder="1" applyAlignment="1">
      <alignment vertical="top"/>
      <protection/>
    </xf>
    <xf numFmtId="0" fontId="124" fillId="0" borderId="0" xfId="59" applyFont="1" applyAlignment="1">
      <alignment horizontal="center"/>
      <protection/>
    </xf>
    <xf numFmtId="0" fontId="124" fillId="0" borderId="0" xfId="59" applyFont="1" applyAlignment="1">
      <alignment horizontal="left" indent="1"/>
      <protection/>
    </xf>
    <xf numFmtId="4" fontId="24" fillId="0" borderId="10" xfId="59" applyNumberFormat="1" applyFont="1" applyBorder="1" applyAlignment="1">
      <alignment vertical="center"/>
      <protection/>
    </xf>
    <xf numFmtId="4" fontId="24" fillId="41" borderId="10" xfId="59" applyNumberFormat="1" applyFont="1" applyFill="1" applyBorder="1" applyAlignment="1">
      <alignment vertical="center"/>
      <protection/>
    </xf>
    <xf numFmtId="4" fontId="124" fillId="0" borderId="0" xfId="59" applyNumberFormat="1" applyFont="1" applyAlignment="1">
      <alignment horizontal="left" indent="1"/>
      <protection/>
    </xf>
    <xf numFmtId="4" fontId="124" fillId="0" borderId="0" xfId="59" applyNumberFormat="1" applyFont="1" applyAlignment="1">
      <alignment horizontal="center"/>
      <protection/>
    </xf>
    <xf numFmtId="0" fontId="0" fillId="0" borderId="0" xfId="59" applyFont="1" applyAlignment="1">
      <alignment vertical="center"/>
      <protection/>
    </xf>
    <xf numFmtId="4" fontId="24" fillId="0" borderId="0" xfId="59" applyNumberFormat="1" applyFont="1" applyBorder="1" applyAlignment="1">
      <alignment vertical="center"/>
      <protection/>
    </xf>
    <xf numFmtId="3" fontId="28" fillId="0" borderId="0" xfId="59" applyNumberFormat="1" applyFont="1" applyAlignment="1">
      <alignment horizontal="center" vertical="center"/>
      <protection/>
    </xf>
    <xf numFmtId="3" fontId="28" fillId="0" borderId="0" xfId="59" applyNumberFormat="1" applyFont="1" applyAlignment="1">
      <alignment horizontal="left" vertical="center"/>
      <protection/>
    </xf>
    <xf numFmtId="3" fontId="25" fillId="38" borderId="10" xfId="59" applyNumberFormat="1" applyFont="1" applyFill="1" applyBorder="1" applyAlignment="1">
      <alignment horizontal="center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center" vertical="center"/>
      <protection/>
    </xf>
    <xf numFmtId="4" fontId="28" fillId="0" borderId="0" xfId="59" applyNumberFormat="1" applyFont="1" applyAlignment="1">
      <alignment horizontal="left" vertical="center"/>
      <protection/>
    </xf>
    <xf numFmtId="4" fontId="29" fillId="0" borderId="0" xfId="59" applyNumberFormat="1" applyFont="1" applyFill="1" applyAlignment="1">
      <alignment vertical="center"/>
      <protection/>
    </xf>
    <xf numFmtId="10" fontId="24" fillId="38" borderId="10" xfId="70" applyNumberFormat="1" applyFont="1" applyFill="1" applyBorder="1" applyAlignment="1">
      <alignment horizontal="center" vertical="center"/>
    </xf>
    <xf numFmtId="10" fontId="25" fillId="39" borderId="10" xfId="70" applyNumberFormat="1" applyFont="1" applyFill="1" applyBorder="1" applyAlignment="1">
      <alignment horizontal="center" vertical="center"/>
    </xf>
    <xf numFmtId="0" fontId="25" fillId="13" borderId="10" xfId="59" applyFont="1" applyFill="1" applyBorder="1" applyAlignment="1">
      <alignment horizontal="center" vertical="center"/>
      <protection/>
    </xf>
    <xf numFmtId="0" fontId="24" fillId="38" borderId="10" xfId="59" applyFont="1" applyFill="1" applyBorder="1" applyAlignment="1">
      <alignment vertical="center"/>
      <protection/>
    </xf>
    <xf numFmtId="0" fontId="14" fillId="0" borderId="0" xfId="59" applyFont="1" applyAlignment="1">
      <alignment vertical="center"/>
      <protection/>
    </xf>
    <xf numFmtId="10" fontId="25" fillId="38" borderId="10" xfId="70" applyNumberFormat="1" applyFont="1" applyFill="1" applyBorder="1" applyAlignment="1">
      <alignment horizontal="center" vertical="center"/>
    </xf>
    <xf numFmtId="0" fontId="25" fillId="38" borderId="10" xfId="59" applyFont="1" applyFill="1" applyBorder="1" applyAlignment="1">
      <alignment vertical="center"/>
      <protection/>
    </xf>
    <xf numFmtId="0" fontId="25" fillId="13" borderId="10" xfId="59" applyFont="1" applyFill="1" applyBorder="1" applyAlignment="1">
      <alignment horizontal="left" vertical="center"/>
      <protection/>
    </xf>
    <xf numFmtId="0" fontId="25" fillId="39" borderId="10" xfId="59" applyFont="1" applyFill="1" applyBorder="1" applyAlignment="1">
      <alignment horizontal="right" vertical="center"/>
      <protection/>
    </xf>
    <xf numFmtId="0" fontId="24" fillId="39" borderId="10" xfId="59" applyFont="1" applyFill="1" applyBorder="1" applyAlignment="1">
      <alignment horizontal="left" vertical="center"/>
      <protection/>
    </xf>
    <xf numFmtId="173" fontId="25" fillId="39" borderId="10" xfId="59" applyNumberFormat="1" applyFont="1" applyFill="1" applyBorder="1" applyAlignment="1">
      <alignment horizontal="center" vertical="center"/>
      <protection/>
    </xf>
    <xf numFmtId="0" fontId="125" fillId="0" borderId="0" xfId="59" applyFont="1" applyFill="1">
      <alignment/>
      <protection/>
    </xf>
    <xf numFmtId="4" fontId="126" fillId="0" borderId="0" xfId="59" applyNumberFormat="1" applyFont="1" applyFill="1">
      <alignment/>
      <protection/>
    </xf>
    <xf numFmtId="4" fontId="124" fillId="7" borderId="17" xfId="59" applyNumberFormat="1" applyFont="1" applyFill="1" applyBorder="1">
      <alignment/>
      <protection/>
    </xf>
    <xf numFmtId="3" fontId="124" fillId="0" borderId="18" xfId="63" applyNumberFormat="1" applyFont="1" applyFill="1" applyBorder="1">
      <alignment/>
      <protection/>
    </xf>
    <xf numFmtId="4" fontId="124" fillId="0" borderId="18" xfId="63" applyNumberFormat="1" applyFont="1" applyFill="1" applyBorder="1">
      <alignment/>
      <protection/>
    </xf>
    <xf numFmtId="172" fontId="124" fillId="0" borderId="18" xfId="59" applyNumberFormat="1" applyFont="1" applyFill="1" applyBorder="1" applyAlignment="1">
      <alignment horizontal="center" vertical="center"/>
      <protection/>
    </xf>
    <xf numFmtId="0" fontId="124" fillId="0" borderId="18" xfId="62" applyFont="1" applyFill="1" applyBorder="1" applyAlignment="1">
      <alignment horizontal="center" vertical="center"/>
      <protection/>
    </xf>
    <xf numFmtId="4" fontId="124" fillId="7" borderId="19" xfId="59" applyNumberFormat="1" applyFont="1" applyFill="1" applyBorder="1">
      <alignment/>
      <protection/>
    </xf>
    <xf numFmtId="3" fontId="124" fillId="0" borderId="20" xfId="63" applyNumberFormat="1" applyFont="1" applyFill="1" applyBorder="1">
      <alignment/>
      <protection/>
    </xf>
    <xf numFmtId="4" fontId="124" fillId="0" borderId="20" xfId="63" applyNumberFormat="1" applyFont="1" applyFill="1" applyBorder="1">
      <alignment/>
      <protection/>
    </xf>
    <xf numFmtId="10" fontId="124" fillId="0" borderId="20" xfId="63" applyNumberFormat="1" applyFont="1" applyFill="1" applyBorder="1" applyAlignment="1">
      <alignment horizontal="center" vertical="center"/>
      <protection/>
    </xf>
    <xf numFmtId="0" fontId="124" fillId="0" borderId="20" xfId="59" applyFont="1" applyFill="1" applyBorder="1" applyAlignment="1">
      <alignment horizontal="center" vertical="center" wrapText="1"/>
      <protection/>
    </xf>
    <xf numFmtId="0" fontId="30" fillId="0" borderId="0" xfId="59" applyFont="1" applyFill="1">
      <alignment/>
      <protection/>
    </xf>
    <xf numFmtId="4" fontId="31" fillId="0" borderId="0" xfId="59" applyNumberFormat="1" applyFont="1" applyFill="1">
      <alignment/>
      <protection/>
    </xf>
    <xf numFmtId="4" fontId="28" fillId="7" borderId="17" xfId="59" applyNumberFormat="1" applyFont="1" applyFill="1" applyBorder="1">
      <alignment/>
      <protection/>
    </xf>
    <xf numFmtId="3" fontId="28" fillId="0" borderId="18" xfId="63" applyNumberFormat="1" applyFont="1" applyFill="1" applyBorder="1">
      <alignment/>
      <protection/>
    </xf>
    <xf numFmtId="4" fontId="28" fillId="0" borderId="18" xfId="63" applyNumberFormat="1" applyFont="1" applyFill="1" applyBorder="1">
      <alignment/>
      <protection/>
    </xf>
    <xf numFmtId="172" fontId="24" fillId="0" borderId="18" xfId="59" applyNumberFormat="1" applyFont="1" applyFill="1" applyBorder="1" applyAlignment="1">
      <alignment horizontal="center" vertical="center"/>
      <protection/>
    </xf>
    <xf numFmtId="0" fontId="28" fillId="0" borderId="18" xfId="62" applyFont="1" applyFill="1" applyBorder="1" applyAlignment="1">
      <alignment horizontal="center" vertical="center"/>
      <protection/>
    </xf>
    <xf numFmtId="4" fontId="28" fillId="7" borderId="19" xfId="59" applyNumberFormat="1" applyFont="1" applyFill="1" applyBorder="1">
      <alignment/>
      <protection/>
    </xf>
    <xf numFmtId="3" fontId="28" fillId="0" borderId="20" xfId="63" applyNumberFormat="1" applyFont="1" applyFill="1" applyBorder="1">
      <alignment/>
      <protection/>
    </xf>
    <xf numFmtId="4" fontId="28" fillId="0" borderId="20" xfId="63" applyNumberFormat="1" applyFont="1" applyFill="1" applyBorder="1">
      <alignment/>
      <protection/>
    </xf>
    <xf numFmtId="10" fontId="24" fillId="0" borderId="20" xfId="63" applyNumberFormat="1" applyFont="1" applyFill="1" applyBorder="1" applyAlignment="1">
      <alignment horizontal="center" vertical="center"/>
      <protection/>
    </xf>
    <xf numFmtId="0" fontId="28" fillId="0" borderId="20" xfId="59" applyFont="1" applyFill="1" applyBorder="1" applyAlignment="1">
      <alignment horizontal="center" vertical="center" wrapText="1"/>
      <protection/>
    </xf>
    <xf numFmtId="0" fontId="32" fillId="0" borderId="0" xfId="59" applyFont="1" applyFill="1">
      <alignment/>
      <protection/>
    </xf>
    <xf numFmtId="4" fontId="29" fillId="0" borderId="0" xfId="59" applyNumberFormat="1" applyFont="1" applyFill="1">
      <alignment/>
      <protection/>
    </xf>
    <xf numFmtId="3" fontId="24" fillId="0" borderId="18" xfId="63" applyNumberFormat="1" applyFont="1" applyFill="1" applyBorder="1">
      <alignment/>
      <protection/>
    </xf>
    <xf numFmtId="0" fontId="24" fillId="0" borderId="18" xfId="62" applyFont="1" applyFill="1" applyBorder="1" applyAlignment="1">
      <alignment horizontal="center" vertical="center"/>
      <protection/>
    </xf>
    <xf numFmtId="3" fontId="24" fillId="0" borderId="20" xfId="63" applyNumberFormat="1" applyFont="1" applyFill="1" applyBorder="1">
      <alignment/>
      <protection/>
    </xf>
    <xf numFmtId="4" fontId="24" fillId="0" borderId="20" xfId="63" applyNumberFormat="1" applyFont="1" applyFill="1" applyBorder="1">
      <alignment/>
      <protection/>
    </xf>
    <xf numFmtId="3" fontId="24" fillId="41" borderId="20" xfId="63" applyNumberFormat="1" applyFont="1" applyFill="1" applyBorder="1">
      <alignment/>
      <protection/>
    </xf>
    <xf numFmtId="3" fontId="24" fillId="0" borderId="18" xfId="63" applyNumberFormat="1" applyFont="1" applyFill="1" applyBorder="1" applyAlignment="1">
      <alignment vertical="center"/>
      <protection/>
    </xf>
    <xf numFmtId="4" fontId="24" fillId="0" borderId="20" xfId="63" applyNumberFormat="1" applyFont="1" applyFill="1" applyBorder="1" applyAlignment="1">
      <alignment vertical="center"/>
      <protection/>
    </xf>
    <xf numFmtId="3" fontId="24" fillId="0" borderId="20" xfId="63" applyNumberFormat="1" applyFont="1" applyFill="1" applyBorder="1" applyAlignment="1">
      <alignment vertical="center"/>
      <protection/>
    </xf>
    <xf numFmtId="4" fontId="24" fillId="41" borderId="20" xfId="63" applyNumberFormat="1" applyFont="1" applyFill="1" applyBorder="1" applyAlignment="1">
      <alignment vertical="center"/>
      <protection/>
    </xf>
    <xf numFmtId="0" fontId="32" fillId="0" borderId="0" xfId="59" applyFont="1" applyFill="1" applyAlignment="1">
      <alignment vertical="center"/>
      <protection/>
    </xf>
    <xf numFmtId="3" fontId="24" fillId="0" borderId="24" xfId="63" applyNumberFormat="1" applyFont="1" applyFill="1" applyBorder="1" applyAlignment="1">
      <alignment vertical="center"/>
      <protection/>
    </xf>
    <xf numFmtId="3" fontId="24" fillId="0" borderId="25" xfId="63" applyNumberFormat="1" applyFont="1" applyFill="1" applyBorder="1" applyAlignment="1">
      <alignment vertical="center"/>
      <protection/>
    </xf>
    <xf numFmtId="0" fontId="24" fillId="0" borderId="18" xfId="62" applyFont="1" applyFill="1" applyBorder="1" applyAlignment="1">
      <alignment vertical="center"/>
      <protection/>
    </xf>
    <xf numFmtId="0" fontId="24" fillId="0" borderId="18" xfId="62" applyFont="1" applyFill="1" applyBorder="1">
      <alignment/>
      <protection/>
    </xf>
    <xf numFmtId="0" fontId="24" fillId="0" borderId="18" xfId="62" applyFont="1" applyFill="1" applyBorder="1" applyAlignment="1">
      <alignment horizontal="center"/>
      <protection/>
    </xf>
    <xf numFmtId="172" fontId="24" fillId="0" borderId="20" xfId="63" applyNumberFormat="1" applyFont="1" applyFill="1" applyBorder="1" applyAlignment="1">
      <alignment horizontal="center" vertical="center"/>
      <protection/>
    </xf>
    <xf numFmtId="0" fontId="0" fillId="0" borderId="0" xfId="59" applyFont="1" applyFill="1">
      <alignment/>
      <protection/>
    </xf>
    <xf numFmtId="3" fontId="24" fillId="0" borderId="26" xfId="63" applyNumberFormat="1" applyFont="1" applyFill="1" applyBorder="1" applyAlignment="1">
      <alignment vertical="center"/>
      <protection/>
    </xf>
    <xf numFmtId="172" fontId="24" fillId="0" borderId="26" xfId="59" applyNumberFormat="1" applyFont="1" applyFill="1" applyBorder="1" applyAlignment="1">
      <alignment horizontal="center" vertical="center"/>
      <protection/>
    </xf>
    <xf numFmtId="0" fontId="24" fillId="0" borderId="26" xfId="62" applyFont="1" applyFill="1" applyBorder="1" applyAlignment="1">
      <alignment horizontal="center" vertical="center"/>
      <protection/>
    </xf>
    <xf numFmtId="3" fontId="24" fillId="0" borderId="18" xfId="62" applyNumberFormat="1" applyFont="1" applyFill="1" applyBorder="1" applyAlignment="1">
      <alignment vertical="center"/>
      <protection/>
    </xf>
    <xf numFmtId="4" fontId="24" fillId="0" borderId="20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0" fontId="24" fillId="0" borderId="27" xfId="59" applyFont="1" applyFill="1" applyBorder="1" applyAlignment="1">
      <alignment horizontal="center" vertical="center" wrapText="1"/>
      <protection/>
    </xf>
    <xf numFmtId="0" fontId="32" fillId="0" borderId="0" xfId="59" applyFont="1" applyFill="1" applyBorder="1" applyAlignment="1">
      <alignment/>
      <protection/>
    </xf>
    <xf numFmtId="3" fontId="24" fillId="0" borderId="27" xfId="63" applyNumberFormat="1" applyFont="1" applyFill="1" applyBorder="1" applyAlignment="1">
      <alignment vertical="center"/>
      <protection/>
    </xf>
    <xf numFmtId="4" fontId="24" fillId="0" borderId="27" xfId="63" applyNumberFormat="1" applyFont="1" applyFill="1" applyBorder="1" applyAlignment="1">
      <alignment vertical="center"/>
      <protection/>
    </xf>
    <xf numFmtId="3" fontId="24" fillId="0" borderId="18" xfId="59" applyNumberFormat="1" applyFont="1" applyFill="1" applyBorder="1" applyAlignment="1">
      <alignment vertical="center"/>
      <protection/>
    </xf>
    <xf numFmtId="4" fontId="24" fillId="0" borderId="20" xfId="59" applyNumberFormat="1" applyFont="1" applyFill="1" applyBorder="1" applyAlignment="1">
      <alignment vertical="center"/>
      <protection/>
    </xf>
    <xf numFmtId="3" fontId="24" fillId="0" borderId="20" xfId="59" applyNumberFormat="1" applyFont="1" applyFill="1" applyBorder="1" applyAlignment="1">
      <alignment vertical="center"/>
      <protection/>
    </xf>
    <xf numFmtId="10" fontId="24" fillId="0" borderId="20" xfId="59" applyNumberFormat="1" applyFont="1" applyFill="1" applyBorder="1" applyAlignment="1">
      <alignment horizontal="center" vertical="center"/>
      <protection/>
    </xf>
    <xf numFmtId="4" fontId="127" fillId="0" borderId="0" xfId="59" applyNumberFormat="1" applyFont="1" applyFill="1">
      <alignment/>
      <protection/>
    </xf>
    <xf numFmtId="3" fontId="24" fillId="0" borderId="18" xfId="44" applyNumberFormat="1" applyFont="1" applyFill="1" applyBorder="1" applyAlignment="1">
      <alignment horizontal="right" vertical="center"/>
    </xf>
    <xf numFmtId="4" fontId="24" fillId="0" borderId="20" xfId="44" applyNumberFormat="1" applyFont="1" applyFill="1" applyBorder="1" applyAlignment="1">
      <alignment horizontal="right" vertical="center"/>
    </xf>
    <xf numFmtId="3" fontId="24" fillId="0" borderId="20" xfId="44" applyNumberFormat="1" applyFont="1" applyFill="1" applyBorder="1" applyAlignment="1">
      <alignment horizontal="right" vertical="center"/>
    </xf>
    <xf numFmtId="0" fontId="0" fillId="36" borderId="0" xfId="59" applyFont="1" applyFill="1">
      <alignment/>
      <protection/>
    </xf>
    <xf numFmtId="3" fontId="121" fillId="0" borderId="18" xfId="59" applyNumberFormat="1" applyFont="1" applyFill="1" applyBorder="1" applyAlignment="1">
      <alignment vertical="center"/>
      <protection/>
    </xf>
    <xf numFmtId="4" fontId="121" fillId="0" borderId="20" xfId="59" applyNumberFormat="1" applyFont="1" applyFill="1" applyBorder="1" applyAlignment="1">
      <alignment vertical="center"/>
      <protection/>
    </xf>
    <xf numFmtId="3" fontId="24" fillId="0" borderId="27" xfId="59" applyNumberFormat="1" applyFont="1" applyFill="1" applyBorder="1" applyAlignment="1">
      <alignment vertical="center"/>
      <protection/>
    </xf>
    <xf numFmtId="10" fontId="24" fillId="0" borderId="27" xfId="59" applyNumberFormat="1" applyFont="1" applyFill="1" applyBorder="1" applyAlignment="1">
      <alignment horizontal="center" vertical="center"/>
      <protection/>
    </xf>
    <xf numFmtId="0" fontId="33" fillId="0" borderId="0" xfId="59" applyFont="1" applyFill="1">
      <alignment/>
      <protection/>
    </xf>
    <xf numFmtId="4" fontId="24" fillId="11" borderId="17" xfId="59" applyNumberFormat="1" applyFont="1" applyFill="1" applyBorder="1">
      <alignment/>
      <protection/>
    </xf>
    <xf numFmtId="3" fontId="28" fillId="11" borderId="18" xfId="63" applyNumberFormat="1" applyFont="1" applyFill="1" applyBorder="1" applyAlignment="1">
      <alignment vertical="center"/>
      <protection/>
    </xf>
    <xf numFmtId="172" fontId="28" fillId="11" borderId="18" xfId="59" applyNumberFormat="1" applyFont="1" applyFill="1" applyBorder="1" applyAlignment="1">
      <alignment horizontal="center" vertical="center"/>
      <protection/>
    </xf>
    <xf numFmtId="0" fontId="28" fillId="11" borderId="18" xfId="62" applyFont="1" applyFill="1" applyBorder="1" applyAlignment="1">
      <alignment horizontal="center" vertical="center"/>
      <protection/>
    </xf>
    <xf numFmtId="4" fontId="24" fillId="11" borderId="19" xfId="59" applyNumberFormat="1" applyFont="1" applyFill="1" applyBorder="1">
      <alignment/>
      <protection/>
    </xf>
    <xf numFmtId="3" fontId="28" fillId="11" borderId="20" xfId="63" applyNumberFormat="1" applyFont="1" applyFill="1" applyBorder="1" applyAlignment="1">
      <alignment vertical="center"/>
      <protection/>
    </xf>
    <xf numFmtId="10" fontId="28" fillId="11" borderId="20" xfId="63" applyNumberFormat="1" applyFont="1" applyFill="1" applyBorder="1" applyAlignment="1">
      <alignment horizontal="center" vertical="center"/>
      <protection/>
    </xf>
    <xf numFmtId="0" fontId="28" fillId="11" borderId="20" xfId="59" applyFont="1" applyFill="1" applyBorder="1" applyAlignment="1">
      <alignment horizontal="center" vertical="center" wrapText="1"/>
      <protection/>
    </xf>
    <xf numFmtId="0" fontId="25" fillId="35" borderId="10" xfId="59" applyFont="1" applyFill="1" applyBorder="1" applyAlignment="1">
      <alignment horizontal="center" vertical="center"/>
      <protection/>
    </xf>
    <xf numFmtId="0" fontId="13" fillId="0" borderId="28" xfId="62" applyFont="1" applyBorder="1" applyAlignment="1">
      <alignment vertical="center"/>
      <protection/>
    </xf>
    <xf numFmtId="0" fontId="13" fillId="0" borderId="28" xfId="62" applyFont="1" applyBorder="1" applyAlignment="1">
      <alignment horizontal="centerContinuous" vertical="center"/>
      <protection/>
    </xf>
    <xf numFmtId="0" fontId="35" fillId="0" borderId="0" xfId="59" applyFont="1">
      <alignment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vertical="center"/>
      <protection/>
    </xf>
    <xf numFmtId="0" fontId="24" fillId="0" borderId="0" xfId="59" applyFont="1" applyAlignment="1">
      <alignment horizontal="left" vertical="center" indent="1"/>
      <protection/>
    </xf>
    <xf numFmtId="0" fontId="14" fillId="3" borderId="0" xfId="59" applyFont="1" applyFill="1">
      <alignment/>
      <protection/>
    </xf>
    <xf numFmtId="3" fontId="3" fillId="3" borderId="0" xfId="59" applyNumberFormat="1" applyFont="1" applyFill="1" applyAlignment="1">
      <alignment horizontal="right" vertical="top" wrapText="1"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37" borderId="0" xfId="61" applyFont="1" applyFill="1" applyAlignment="1">
      <alignment horizontal="right" vertical="top" wrapText="1"/>
      <protection/>
    </xf>
    <xf numFmtId="0" fontId="0" fillId="0" borderId="0" xfId="59" applyFont="1" applyAlignment="1">
      <alignment horizontal="right" vertical="top" wrapText="1"/>
      <protection/>
    </xf>
    <xf numFmtId="0" fontId="3" fillId="37" borderId="0" xfId="59" applyFont="1" applyFill="1" applyAlignment="1">
      <alignment horizontal="left" vertical="top" wrapText="1"/>
      <protection/>
    </xf>
    <xf numFmtId="0" fontId="0" fillId="0" borderId="0" xfId="59" applyFont="1" applyAlignment="1">
      <alignment horizontal="left" vertical="top" wrapText="1"/>
      <protection/>
    </xf>
    <xf numFmtId="0" fontId="10" fillId="37" borderId="0" xfId="61" applyFont="1" applyFill="1" applyBorder="1" applyAlignment="1">
      <alignment horizontal="center" vertical="top" wrapText="1"/>
      <protection/>
    </xf>
    <xf numFmtId="0" fontId="0" fillId="0" borderId="0" xfId="59" applyFont="1" applyAlignment="1">
      <alignment horizontal="center" vertical="top" wrapText="1"/>
      <protection/>
    </xf>
    <xf numFmtId="0" fontId="14" fillId="0" borderId="0" xfId="59" applyFont="1" applyAlignment="1">
      <alignment horizontal="left" vertical="top" wrapText="1"/>
      <protection/>
    </xf>
    <xf numFmtId="0" fontId="2" fillId="37" borderId="0" xfId="59" applyFont="1" applyFill="1" applyAlignment="1">
      <alignment horizontal="left" vertical="top" wrapText="1"/>
      <protection/>
    </xf>
    <xf numFmtId="0" fontId="10" fillId="37" borderId="0" xfId="59" applyFont="1" applyFill="1" applyAlignment="1">
      <alignment horizontal="left" vertical="top" wrapText="1"/>
      <protection/>
    </xf>
    <xf numFmtId="0" fontId="3" fillId="3" borderId="0" xfId="59" applyFont="1" applyFill="1" applyAlignment="1">
      <alignment horizontal="left" vertical="top" wrapText="1"/>
      <protection/>
    </xf>
    <xf numFmtId="0" fontId="10" fillId="3" borderId="0" xfId="59" applyFont="1" applyFill="1" applyAlignment="1">
      <alignment horizontal="left" vertical="top" wrapText="1"/>
      <protection/>
    </xf>
    <xf numFmtId="0" fontId="5" fillId="37" borderId="0" xfId="59" applyFont="1" applyFill="1" applyAlignment="1">
      <alignment horizontal="right" vertical="top" wrapText="1"/>
      <protection/>
    </xf>
    <xf numFmtId="0" fontId="10" fillId="37" borderId="29" xfId="61" applyFont="1" applyFill="1" applyBorder="1" applyAlignment="1">
      <alignment horizontal="center" vertical="center" wrapText="1"/>
      <protection/>
    </xf>
    <xf numFmtId="0" fontId="0" fillId="0" borderId="30" xfId="59" applyFont="1" applyBorder="1" applyAlignment="1">
      <alignment horizontal="center" vertical="center" wrapText="1"/>
      <protection/>
    </xf>
    <xf numFmtId="0" fontId="0" fillId="0" borderId="31" xfId="59" applyFont="1" applyBorder="1" applyAlignment="1">
      <alignment horizontal="center" vertical="center" wrapText="1"/>
      <protection/>
    </xf>
    <xf numFmtId="0" fontId="10" fillId="3" borderId="32" xfId="59" applyFont="1" applyFill="1" applyBorder="1" applyAlignment="1">
      <alignment horizontal="left" vertical="top" wrapText="1"/>
      <protection/>
    </xf>
    <xf numFmtId="0" fontId="0" fillId="0" borderId="32" xfId="59" applyFont="1" applyBorder="1" applyAlignment="1">
      <alignment horizontal="left" vertical="top" wrapText="1"/>
      <protection/>
    </xf>
    <xf numFmtId="173" fontId="8" fillId="39" borderId="33" xfId="59" applyNumberFormat="1" applyFont="1" applyFill="1" applyBorder="1" applyAlignment="1">
      <alignment horizontal="left"/>
      <protection/>
    </xf>
    <xf numFmtId="173" fontId="8" fillId="39" borderId="32" xfId="59" applyNumberFormat="1" applyFont="1" applyFill="1" applyBorder="1" applyAlignment="1">
      <alignment horizontal="left"/>
      <protection/>
    </xf>
    <xf numFmtId="173" fontId="8" fillId="39" borderId="34" xfId="59" applyNumberFormat="1" applyFont="1" applyFill="1" applyBorder="1" applyAlignment="1">
      <alignment horizontal="left"/>
      <protection/>
    </xf>
    <xf numFmtId="173" fontId="25" fillId="13" borderId="35" xfId="59" applyNumberFormat="1" applyFont="1" applyFill="1" applyBorder="1" applyAlignment="1">
      <alignment horizontal="left"/>
      <protection/>
    </xf>
    <xf numFmtId="173" fontId="25" fillId="13" borderId="36" xfId="59" applyNumberFormat="1" applyFont="1" applyFill="1" applyBorder="1" applyAlignment="1">
      <alignment horizontal="left"/>
      <protection/>
    </xf>
    <xf numFmtId="173" fontId="25" fillId="13" borderId="37" xfId="59" applyNumberFormat="1" applyFont="1" applyFill="1" applyBorder="1" applyAlignment="1">
      <alignment horizontal="left"/>
      <protection/>
    </xf>
    <xf numFmtId="0" fontId="8" fillId="38" borderId="38" xfId="59" applyFont="1" applyFill="1" applyBorder="1" applyAlignment="1">
      <alignment horizontal="left"/>
      <protection/>
    </xf>
    <xf numFmtId="0" fontId="8" fillId="38" borderId="39" xfId="59" applyFont="1" applyFill="1" applyBorder="1" applyAlignment="1">
      <alignment horizontal="left"/>
      <protection/>
    </xf>
    <xf numFmtId="0" fontId="8" fillId="38" borderId="40" xfId="59" applyFont="1" applyFill="1" applyBorder="1" applyAlignment="1">
      <alignment horizontal="left"/>
      <protection/>
    </xf>
    <xf numFmtId="173" fontId="8" fillId="13" borderId="14" xfId="59" applyNumberFormat="1" applyFont="1" applyFill="1" applyBorder="1" applyAlignment="1">
      <alignment horizontal="left"/>
      <protection/>
    </xf>
    <xf numFmtId="0" fontId="8" fillId="13" borderId="14" xfId="59" applyFont="1" applyFill="1" applyBorder="1" applyAlignment="1">
      <alignment horizontal="left"/>
      <protection/>
    </xf>
    <xf numFmtId="0" fontId="8" fillId="38" borderId="38" xfId="59" applyFont="1" applyFill="1" applyBorder="1" applyAlignment="1">
      <alignment horizontal="left" vertical="center"/>
      <protection/>
    </xf>
    <xf numFmtId="0" fontId="8" fillId="38" borderId="39" xfId="59" applyFont="1" applyFill="1" applyBorder="1" applyAlignment="1">
      <alignment horizontal="left" vertical="center"/>
      <protection/>
    </xf>
    <xf numFmtId="0" fontId="8" fillId="38" borderId="40" xfId="59" applyFont="1" applyFill="1" applyBorder="1" applyAlignment="1">
      <alignment horizontal="left" vertical="center"/>
      <protection/>
    </xf>
    <xf numFmtId="173" fontId="8" fillId="38" borderId="38" xfId="59" applyNumberFormat="1" applyFont="1" applyFill="1" applyBorder="1" applyAlignment="1">
      <alignment horizontal="left"/>
      <protection/>
    </xf>
    <xf numFmtId="173" fontId="8" fillId="38" borderId="39" xfId="59" applyNumberFormat="1" applyFont="1" applyFill="1" applyBorder="1" applyAlignment="1">
      <alignment horizontal="left"/>
      <protection/>
    </xf>
    <xf numFmtId="173" fontId="8" fillId="38" borderId="40" xfId="59" applyNumberFormat="1" applyFont="1" applyFill="1" applyBorder="1" applyAlignment="1">
      <alignment horizontal="left"/>
      <protection/>
    </xf>
    <xf numFmtId="0" fontId="121" fillId="0" borderId="41" xfId="59" applyFont="1" applyFill="1" applyBorder="1" applyAlignment="1">
      <alignment horizontal="center" vertical="center"/>
      <protection/>
    </xf>
    <xf numFmtId="0" fontId="121" fillId="0" borderId="42" xfId="59" applyFont="1" applyFill="1" applyBorder="1" applyAlignment="1">
      <alignment horizontal="center" vertical="center"/>
      <protection/>
    </xf>
    <xf numFmtId="3" fontId="121" fillId="0" borderId="20" xfId="59" applyNumberFormat="1" applyFont="1" applyFill="1" applyBorder="1" applyAlignment="1">
      <alignment horizontal="left" vertical="center" wrapText="1" indent="1"/>
      <protection/>
    </xf>
    <xf numFmtId="0" fontId="121" fillId="0" borderId="18" xfId="59" applyFont="1" applyFill="1" applyBorder="1" applyAlignment="1">
      <alignment horizontal="left" vertical="center" wrapText="1" indent="1"/>
      <protection/>
    </xf>
    <xf numFmtId="174" fontId="124" fillId="0" borderId="20" xfId="44" applyNumberFormat="1" applyFont="1" applyFill="1" applyBorder="1" applyAlignment="1">
      <alignment horizontal="center" vertical="center"/>
    </xf>
    <xf numFmtId="174" fontId="124" fillId="0" borderId="18" xfId="44" applyNumberFormat="1" applyFont="1" applyFill="1" applyBorder="1" applyAlignment="1">
      <alignment horizontal="center" vertical="center"/>
    </xf>
    <xf numFmtId="0" fontId="124" fillId="0" borderId="20" xfId="59" applyFont="1" applyFill="1" applyBorder="1" applyAlignment="1">
      <alignment horizontal="center" vertical="center" wrapText="1"/>
      <protection/>
    </xf>
    <xf numFmtId="0" fontId="124" fillId="0" borderId="18" xfId="59" applyFont="1" applyFill="1" applyBorder="1" applyAlignment="1">
      <alignment horizontal="center" vertical="center" wrapText="1"/>
      <protection/>
    </xf>
    <xf numFmtId="173" fontId="8" fillId="38" borderId="10" xfId="59" applyNumberFormat="1" applyFont="1" applyFill="1" applyBorder="1" applyAlignment="1">
      <alignment horizontal="left"/>
      <protection/>
    </xf>
    <xf numFmtId="173" fontId="8" fillId="38" borderId="16" xfId="59" applyNumberFormat="1" applyFont="1" applyFill="1" applyBorder="1" applyAlignment="1">
      <alignment horizontal="left"/>
      <protection/>
    </xf>
    <xf numFmtId="0" fontId="24" fillId="0" borderId="43" xfId="59" applyFont="1" applyFill="1" applyBorder="1" applyAlignment="1">
      <alignment horizontal="center" vertical="center" wrapText="1"/>
      <protection/>
    </xf>
    <xf numFmtId="0" fontId="24" fillId="0" borderId="44" xfId="59" applyFont="1" applyFill="1" applyBorder="1" applyAlignment="1">
      <alignment horizontal="center" vertical="center" wrapText="1"/>
      <protection/>
    </xf>
    <xf numFmtId="0" fontId="24" fillId="0" borderId="41" xfId="59" applyFont="1" applyFill="1" applyBorder="1" applyAlignment="1">
      <alignment horizontal="center" vertical="center"/>
      <protection/>
    </xf>
    <xf numFmtId="0" fontId="24" fillId="0" borderId="42" xfId="59" applyFont="1" applyFill="1" applyBorder="1" applyAlignment="1">
      <alignment horizontal="center" vertical="center"/>
      <protection/>
    </xf>
    <xf numFmtId="3" fontId="24" fillId="0" borderId="20" xfId="59" applyNumberFormat="1" applyFont="1" applyFill="1" applyBorder="1" applyAlignment="1">
      <alignment horizontal="left" vertical="center" wrapText="1" indent="1"/>
      <protection/>
    </xf>
    <xf numFmtId="0" fontId="24" fillId="0" borderId="18" xfId="59" applyFont="1" applyFill="1" applyBorder="1" applyAlignment="1">
      <alignment horizontal="left" vertical="center" wrapText="1" indent="1"/>
      <protection/>
    </xf>
    <xf numFmtId="174" fontId="24" fillId="0" borderId="20" xfId="44" applyNumberFormat="1" applyFont="1" applyFill="1" applyBorder="1" applyAlignment="1">
      <alignment horizontal="center" vertical="center"/>
    </xf>
    <xf numFmtId="174" fontId="24" fillId="0" borderId="18" xfId="44" applyNumberFormat="1" applyFont="1" applyFill="1" applyBorder="1" applyAlignment="1">
      <alignment horizontal="center" vertical="center"/>
    </xf>
    <xf numFmtId="0" fontId="24" fillId="0" borderId="20" xfId="59" applyFont="1" applyFill="1" applyBorder="1" applyAlignment="1">
      <alignment horizontal="center" vertical="center" wrapText="1"/>
      <protection/>
    </xf>
    <xf numFmtId="0" fontId="24" fillId="0" borderId="18" xfId="59" applyFont="1" applyFill="1" applyBorder="1" applyAlignment="1">
      <alignment horizontal="center" vertical="center" wrapText="1"/>
      <protection/>
    </xf>
    <xf numFmtId="0" fontId="24" fillId="0" borderId="20" xfId="59" applyFont="1" applyFill="1" applyBorder="1" applyAlignment="1">
      <alignment horizontal="left" vertical="center" wrapText="1" indent="1"/>
      <protection/>
    </xf>
    <xf numFmtId="0" fontId="27" fillId="0" borderId="0" xfId="59" applyFont="1" applyAlignment="1">
      <alignment horizontal="right"/>
      <protection/>
    </xf>
    <xf numFmtId="0" fontId="24" fillId="0" borderId="10" xfId="59" applyFont="1" applyFill="1" applyBorder="1" applyAlignment="1">
      <alignment horizontal="right" vertical="center"/>
      <protection/>
    </xf>
    <xf numFmtId="0" fontId="24" fillId="0" borderId="10" xfId="59" applyFont="1" applyFill="1" applyBorder="1" applyAlignment="1">
      <alignment horizontal="right" vertical="center" wrapText="1"/>
      <protection/>
    </xf>
    <xf numFmtId="0" fontId="24" fillId="0" borderId="10" xfId="59" applyFont="1" applyBorder="1" applyAlignment="1">
      <alignment horizontal="right" vertical="center"/>
      <protection/>
    </xf>
    <xf numFmtId="0" fontId="25" fillId="40" borderId="38" xfId="59" applyFont="1" applyFill="1" applyBorder="1" applyAlignment="1">
      <alignment horizontal="right" vertical="center"/>
      <protection/>
    </xf>
    <xf numFmtId="0" fontId="25" fillId="40" borderId="39" xfId="59" applyFont="1" applyFill="1" applyBorder="1" applyAlignment="1">
      <alignment horizontal="right" vertical="center"/>
      <protection/>
    </xf>
    <xf numFmtId="0" fontId="25" fillId="40" borderId="40" xfId="59" applyFont="1" applyFill="1" applyBorder="1" applyAlignment="1">
      <alignment horizontal="right" vertical="center"/>
      <protection/>
    </xf>
    <xf numFmtId="0" fontId="28" fillId="11" borderId="20" xfId="62" applyFont="1" applyFill="1" applyBorder="1" applyAlignment="1">
      <alignment horizontal="center" vertical="center" wrapText="1"/>
      <protection/>
    </xf>
    <xf numFmtId="0" fontId="28" fillId="11" borderId="18" xfId="62" applyFont="1" applyFill="1" applyBorder="1" applyAlignment="1">
      <alignment horizontal="center" vertical="center" wrapText="1"/>
      <protection/>
    </xf>
    <xf numFmtId="4" fontId="28" fillId="11" borderId="20" xfId="44" applyNumberFormat="1" applyFont="1" applyFill="1" applyBorder="1" applyAlignment="1">
      <alignment horizontal="center" vertical="center"/>
    </xf>
    <xf numFmtId="4" fontId="28" fillId="11" borderId="18" xfId="44" applyNumberFormat="1" applyFont="1" applyFill="1" applyBorder="1" applyAlignment="1">
      <alignment horizontal="center" vertical="center"/>
    </xf>
    <xf numFmtId="0" fontId="28" fillId="11" borderId="20" xfId="59" applyFont="1" applyFill="1" applyBorder="1" applyAlignment="1">
      <alignment horizontal="center" wrapText="1"/>
      <protection/>
    </xf>
    <xf numFmtId="0" fontId="28" fillId="11" borderId="18" xfId="59" applyFont="1" applyFill="1" applyBorder="1" applyAlignment="1">
      <alignment horizontal="center" wrapText="1"/>
      <protection/>
    </xf>
    <xf numFmtId="173" fontId="8" fillId="38" borderId="10" xfId="59" applyNumberFormat="1" applyFont="1" applyFill="1" applyBorder="1" applyAlignment="1">
      <alignment horizontal="left" vertical="center"/>
      <protection/>
    </xf>
    <xf numFmtId="0" fontId="28" fillId="0" borderId="41" xfId="59" applyFont="1" applyFill="1" applyBorder="1" applyAlignment="1">
      <alignment horizontal="center" vertical="center"/>
      <protection/>
    </xf>
    <xf numFmtId="0" fontId="28" fillId="0" borderId="42" xfId="59" applyFont="1" applyFill="1" applyBorder="1" applyAlignment="1">
      <alignment horizontal="center" vertical="center"/>
      <protection/>
    </xf>
    <xf numFmtId="0" fontId="124" fillId="0" borderId="43" xfId="62" applyFont="1" applyFill="1" applyBorder="1" applyAlignment="1">
      <alignment horizontal="left" vertical="center" wrapText="1" indent="1"/>
      <protection/>
    </xf>
    <xf numFmtId="0" fontId="124" fillId="0" borderId="44" xfId="62" applyFont="1" applyFill="1" applyBorder="1" applyAlignment="1">
      <alignment horizontal="left" vertical="center" wrapText="1" indent="1"/>
      <protection/>
    </xf>
    <xf numFmtId="0" fontId="124" fillId="0" borderId="43" xfId="62" applyFont="1" applyFill="1" applyBorder="1" applyAlignment="1">
      <alignment horizontal="center" vertical="center" wrapText="1"/>
      <protection/>
    </xf>
    <xf numFmtId="0" fontId="124" fillId="0" borderId="44" xfId="62" applyFont="1" applyFill="1" applyBorder="1" applyAlignment="1">
      <alignment horizontal="center" vertical="center" wrapText="1"/>
      <protection/>
    </xf>
    <xf numFmtId="4" fontId="124" fillId="0" borderId="43" xfId="44" applyNumberFormat="1" applyFont="1" applyFill="1" applyBorder="1" applyAlignment="1">
      <alignment horizontal="center" vertical="center"/>
    </xf>
    <xf numFmtId="4" fontId="124" fillId="0" borderId="44" xfId="44" applyNumberFormat="1" applyFont="1" applyFill="1" applyBorder="1" applyAlignment="1">
      <alignment horizontal="center" vertical="center"/>
    </xf>
    <xf numFmtId="0" fontId="124" fillId="0" borderId="43" xfId="59" applyFont="1" applyFill="1" applyBorder="1" applyAlignment="1">
      <alignment horizontal="center" vertical="center" wrapText="1"/>
      <protection/>
    </xf>
    <xf numFmtId="0" fontId="124" fillId="0" borderId="44" xfId="59" applyFont="1" applyFill="1" applyBorder="1" applyAlignment="1">
      <alignment horizontal="center" vertical="center" wrapText="1"/>
      <protection/>
    </xf>
    <xf numFmtId="173" fontId="8" fillId="13" borderId="10" xfId="59" applyNumberFormat="1" applyFont="1" applyFill="1" applyBorder="1" applyAlignment="1">
      <alignment horizontal="left" vertical="center"/>
      <protection/>
    </xf>
    <xf numFmtId="0" fontId="8" fillId="38" borderId="10" xfId="59" applyFont="1" applyFill="1" applyBorder="1" applyAlignment="1">
      <alignment horizontal="left" vertical="center"/>
      <protection/>
    </xf>
    <xf numFmtId="0" fontId="28" fillId="0" borderId="20" xfId="62" applyFont="1" applyFill="1" applyBorder="1" applyAlignment="1">
      <alignment horizontal="left" vertical="center" wrapText="1" indent="1"/>
      <protection/>
    </xf>
    <xf numFmtId="0" fontId="28" fillId="0" borderId="18" xfId="62" applyFont="1" applyFill="1" applyBorder="1" applyAlignment="1">
      <alignment horizontal="left" vertical="center" wrapText="1" indent="1"/>
      <protection/>
    </xf>
    <xf numFmtId="0" fontId="28" fillId="0" borderId="43" xfId="62" applyFont="1" applyFill="1" applyBorder="1" applyAlignment="1">
      <alignment horizontal="center" vertical="center" wrapText="1"/>
      <protection/>
    </xf>
    <xf numFmtId="0" fontId="28" fillId="0" borderId="44" xfId="62" applyFont="1" applyFill="1" applyBorder="1" applyAlignment="1">
      <alignment horizontal="center" vertical="center" wrapText="1"/>
      <protection/>
    </xf>
    <xf numFmtId="4" fontId="28" fillId="0" borderId="20" xfId="44" applyNumberFormat="1" applyFont="1" applyFill="1" applyBorder="1" applyAlignment="1">
      <alignment horizontal="center" vertical="center"/>
    </xf>
    <xf numFmtId="4" fontId="28" fillId="0" borderId="18" xfId="44" applyNumberFormat="1" applyFont="1" applyFill="1" applyBorder="1" applyAlignment="1">
      <alignment horizontal="center" vertical="center"/>
    </xf>
    <xf numFmtId="0" fontId="28" fillId="0" borderId="43" xfId="62" applyFont="1" applyFill="1" applyBorder="1" applyAlignment="1">
      <alignment horizontal="left" vertical="center" wrapText="1" indent="1"/>
      <protection/>
    </xf>
    <xf numFmtId="0" fontId="28" fillId="0" borderId="44" xfId="62" applyFont="1" applyFill="1" applyBorder="1" applyAlignment="1">
      <alignment horizontal="left" vertical="center" wrapText="1" indent="1"/>
      <protection/>
    </xf>
    <xf numFmtId="4" fontId="28" fillId="0" borderId="43" xfId="44" applyNumberFormat="1" applyFont="1" applyFill="1" applyBorder="1" applyAlignment="1">
      <alignment horizontal="center" vertical="center"/>
    </xf>
    <xf numFmtId="4" fontId="28" fillId="0" borderId="44" xfId="44" applyNumberFormat="1" applyFont="1" applyFill="1" applyBorder="1" applyAlignment="1">
      <alignment horizontal="center" vertical="center"/>
    </xf>
    <xf numFmtId="0" fontId="28" fillId="0" borderId="43" xfId="59" applyFont="1" applyFill="1" applyBorder="1" applyAlignment="1">
      <alignment horizontal="center" vertical="center" wrapText="1"/>
      <protection/>
    </xf>
    <xf numFmtId="0" fontId="28" fillId="0" borderId="44" xfId="59" applyFont="1" applyFill="1" applyBorder="1" applyAlignment="1">
      <alignment horizontal="center" vertical="center" wrapText="1"/>
      <protection/>
    </xf>
    <xf numFmtId="0" fontId="28" fillId="0" borderId="20" xfId="62" applyFont="1" applyFill="1" applyBorder="1" applyAlignment="1">
      <alignment horizontal="center" vertical="center" wrapText="1"/>
      <protection/>
    </xf>
    <xf numFmtId="0" fontId="28" fillId="0" borderId="18" xfId="62" applyFont="1" applyFill="1" applyBorder="1" applyAlignment="1">
      <alignment horizontal="center" vertical="center" wrapText="1"/>
      <protection/>
    </xf>
    <xf numFmtId="0" fontId="24" fillId="0" borderId="43" xfId="62" applyFont="1" applyFill="1" applyBorder="1" applyAlignment="1">
      <alignment horizontal="left" vertical="center" wrapText="1" indent="1"/>
      <protection/>
    </xf>
    <xf numFmtId="0" fontId="24" fillId="0" borderId="44" xfId="62" applyFont="1" applyFill="1" applyBorder="1" applyAlignment="1">
      <alignment horizontal="left" vertical="center" wrapText="1" indent="1"/>
      <protection/>
    </xf>
    <xf numFmtId="0" fontId="24" fillId="0" borderId="43" xfId="62" applyFont="1" applyFill="1" applyBorder="1" applyAlignment="1">
      <alignment horizontal="center" vertical="center" wrapText="1"/>
      <protection/>
    </xf>
    <xf numFmtId="0" fontId="24" fillId="0" borderId="44" xfId="62" applyFont="1" applyFill="1" applyBorder="1" applyAlignment="1">
      <alignment horizontal="center" vertical="center" wrapText="1"/>
      <protection/>
    </xf>
    <xf numFmtId="4" fontId="24" fillId="0" borderId="43" xfId="44" applyNumberFormat="1" applyFont="1" applyFill="1" applyBorder="1" applyAlignment="1">
      <alignment horizontal="center" vertical="center"/>
    </xf>
    <xf numFmtId="4" fontId="24" fillId="0" borderId="44" xfId="44" applyNumberFormat="1" applyFont="1" applyFill="1" applyBorder="1" applyAlignment="1">
      <alignment horizontal="center" vertical="center"/>
    </xf>
    <xf numFmtId="0" fontId="24" fillId="0" borderId="20" xfId="62" applyFont="1" applyFill="1" applyBorder="1" applyAlignment="1">
      <alignment horizontal="center" vertical="center" wrapText="1"/>
      <protection/>
    </xf>
    <xf numFmtId="0" fontId="24" fillId="0" borderId="18" xfId="62" applyFont="1" applyFill="1" applyBorder="1" applyAlignment="1">
      <alignment horizontal="center" vertical="center" wrapText="1"/>
      <protection/>
    </xf>
    <xf numFmtId="4" fontId="24" fillId="0" borderId="20" xfId="44" applyNumberFormat="1" applyFont="1" applyFill="1" applyBorder="1" applyAlignment="1">
      <alignment horizontal="center" vertical="center"/>
    </xf>
    <xf numFmtId="4" fontId="24" fillId="0" borderId="18" xfId="44" applyNumberFormat="1" applyFont="1" applyFill="1" applyBorder="1" applyAlignment="1">
      <alignment horizontal="center" vertical="center"/>
    </xf>
    <xf numFmtId="0" fontId="24" fillId="0" borderId="20" xfId="62" applyFont="1" applyFill="1" applyBorder="1" applyAlignment="1">
      <alignment horizontal="left" vertical="center" wrapText="1" indent="1"/>
      <protection/>
    </xf>
    <xf numFmtId="0" fontId="24" fillId="0" borderId="18" xfId="62" applyFont="1" applyFill="1" applyBorder="1" applyAlignment="1">
      <alignment horizontal="left" vertical="center" wrapText="1" indent="1"/>
      <protection/>
    </xf>
    <xf numFmtId="4" fontId="24" fillId="0" borderId="43" xfId="62" applyNumberFormat="1" applyFont="1" applyFill="1" applyBorder="1" applyAlignment="1">
      <alignment horizontal="left" vertical="center" wrapText="1" indent="1"/>
      <protection/>
    </xf>
    <xf numFmtId="4" fontId="24" fillId="0" borderId="44" xfId="62" applyNumberFormat="1" applyFont="1" applyFill="1" applyBorder="1" applyAlignment="1">
      <alignment horizontal="left" vertical="center" wrapText="1" indent="1"/>
      <protection/>
    </xf>
    <xf numFmtId="0" fontId="24" fillId="0" borderId="25" xfId="59" applyFont="1" applyFill="1" applyBorder="1" applyAlignment="1">
      <alignment horizontal="center" vertical="center" wrapText="1"/>
      <protection/>
    </xf>
    <xf numFmtId="0" fontId="24" fillId="0" borderId="45" xfId="59" applyFont="1" applyFill="1" applyBorder="1" applyAlignment="1">
      <alignment horizontal="center" vertical="center" wrapText="1"/>
      <protection/>
    </xf>
    <xf numFmtId="0" fontId="24" fillId="0" borderId="24" xfId="59" applyFont="1" applyFill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left" vertical="center" wrapText="1" indent="1"/>
      <protection/>
    </xf>
    <xf numFmtId="0" fontId="24" fillId="0" borderId="26" xfId="62" applyFont="1" applyFill="1" applyBorder="1" applyAlignment="1">
      <alignment horizontal="center" vertical="center" wrapText="1"/>
      <protection/>
    </xf>
    <xf numFmtId="4" fontId="24" fillId="0" borderId="26" xfId="44" applyNumberFormat="1" applyFont="1" applyFill="1" applyBorder="1" applyAlignment="1">
      <alignment horizontal="center" vertical="center"/>
    </xf>
    <xf numFmtId="4" fontId="24" fillId="0" borderId="20" xfId="44" applyNumberFormat="1" applyFont="1" applyFill="1" applyBorder="1" applyAlignment="1">
      <alignment horizontal="center" vertical="center" wrapText="1"/>
    </xf>
    <xf numFmtId="4" fontId="24" fillId="0" borderId="18" xfId="44" applyNumberFormat="1" applyFont="1" applyFill="1" applyBorder="1" applyAlignment="1">
      <alignment horizontal="center" vertical="center" wrapText="1"/>
    </xf>
    <xf numFmtId="0" fontId="24" fillId="0" borderId="27" xfId="62" applyFont="1" applyFill="1" applyBorder="1" applyAlignment="1">
      <alignment horizontal="left" vertical="center" wrapText="1" indent="1"/>
      <protection/>
    </xf>
    <xf numFmtId="0" fontId="24" fillId="0" borderId="27" xfId="62" applyFont="1" applyFill="1" applyBorder="1" applyAlignment="1">
      <alignment horizontal="center" vertical="center" wrapText="1"/>
      <protection/>
    </xf>
    <xf numFmtId="4" fontId="24" fillId="0" borderId="27" xfId="44" applyNumberFormat="1" applyFont="1" applyFill="1" applyBorder="1" applyAlignment="1">
      <alignment horizontal="center" vertical="center"/>
    </xf>
    <xf numFmtId="0" fontId="24" fillId="0" borderId="43" xfId="59" applyFont="1" applyFill="1" applyBorder="1" applyAlignment="1">
      <alignment horizontal="center" wrapText="1"/>
      <protection/>
    </xf>
    <xf numFmtId="0" fontId="24" fillId="0" borderId="44" xfId="59" applyFont="1" applyFill="1" applyBorder="1" applyAlignment="1">
      <alignment horizontal="center" wrapText="1"/>
      <protection/>
    </xf>
    <xf numFmtId="0" fontId="24" fillId="0" borderId="25" xfId="59" applyFont="1" applyFill="1" applyBorder="1" applyAlignment="1">
      <alignment horizontal="center" wrapText="1"/>
      <protection/>
    </xf>
    <xf numFmtId="0" fontId="24" fillId="0" borderId="24" xfId="59" applyFont="1" applyFill="1" applyBorder="1" applyAlignment="1">
      <alignment horizontal="center" wrapText="1"/>
      <protection/>
    </xf>
    <xf numFmtId="3" fontId="24" fillId="0" borderId="20" xfId="62" applyNumberFormat="1" applyFont="1" applyFill="1" applyBorder="1" applyAlignment="1">
      <alignment horizontal="left" vertical="center" wrapText="1" indent="1"/>
      <protection/>
    </xf>
    <xf numFmtId="0" fontId="24" fillId="0" borderId="46" xfId="59" applyFont="1" applyFill="1" applyBorder="1" applyAlignment="1">
      <alignment horizontal="center" wrapText="1"/>
      <protection/>
    </xf>
    <xf numFmtId="0" fontId="24" fillId="0" borderId="45" xfId="59" applyFont="1" applyFill="1" applyBorder="1" applyAlignment="1">
      <alignment horizontal="center" wrapText="1"/>
      <protection/>
    </xf>
    <xf numFmtId="0" fontId="24" fillId="0" borderId="27" xfId="59" applyFont="1" applyFill="1" applyBorder="1" applyAlignment="1">
      <alignment horizontal="center" vertical="center" wrapText="1"/>
      <protection/>
    </xf>
    <xf numFmtId="14" fontId="24" fillId="0" borderId="46" xfId="59" applyNumberFormat="1" applyFont="1" applyFill="1" applyBorder="1" applyAlignment="1">
      <alignment horizontal="center" vertical="center" wrapText="1"/>
      <protection/>
    </xf>
    <xf numFmtId="0" fontId="25" fillId="35" borderId="11" xfId="59" applyFont="1" applyFill="1" applyBorder="1" applyAlignment="1">
      <alignment horizontal="center" vertical="center"/>
      <protection/>
    </xf>
    <xf numFmtId="0" fontId="25" fillId="35" borderId="47" xfId="59" applyFont="1" applyFill="1" applyBorder="1" applyAlignment="1">
      <alignment horizontal="center" vertical="center"/>
      <protection/>
    </xf>
    <xf numFmtId="0" fontId="25" fillId="35" borderId="10" xfId="59" applyFont="1" applyFill="1" applyBorder="1" applyAlignment="1">
      <alignment horizontal="center" vertical="center" wrapText="1"/>
      <protection/>
    </xf>
    <xf numFmtId="0" fontId="25" fillId="35" borderId="10" xfId="59" applyFont="1" applyFill="1" applyBorder="1" applyAlignment="1">
      <alignment horizontal="center" vertical="center"/>
      <protection/>
    </xf>
    <xf numFmtId="0" fontId="25" fillId="35" borderId="11" xfId="59" applyFont="1" applyFill="1" applyBorder="1" applyAlignment="1">
      <alignment horizontal="center" vertical="center" wrapText="1"/>
      <protection/>
    </xf>
    <xf numFmtId="0" fontId="25" fillId="35" borderId="47" xfId="59" applyFont="1" applyFill="1" applyBorder="1" applyAlignment="1">
      <alignment horizontal="center" vertical="center" wrapText="1"/>
      <protection/>
    </xf>
    <xf numFmtId="0" fontId="24" fillId="0" borderId="48" xfId="59" applyFont="1" applyFill="1" applyBorder="1" applyAlignment="1">
      <alignment horizontal="center" vertical="center"/>
      <protection/>
    </xf>
    <xf numFmtId="0" fontId="24" fillId="0" borderId="27" xfId="59" applyFont="1" applyFill="1" applyBorder="1" applyAlignment="1">
      <alignment horizontal="left" vertical="center" wrapText="1" indent="1"/>
      <protection/>
    </xf>
    <xf numFmtId="0" fontId="28" fillId="11" borderId="41" xfId="59" applyFont="1" applyFill="1" applyBorder="1" applyAlignment="1">
      <alignment horizontal="center" vertical="center"/>
      <protection/>
    </xf>
    <xf numFmtId="0" fontId="28" fillId="11" borderId="42" xfId="59" applyFont="1" applyFill="1" applyBorder="1" applyAlignment="1">
      <alignment horizontal="center" vertical="center"/>
      <protection/>
    </xf>
    <xf numFmtId="0" fontId="10" fillId="0" borderId="28" xfId="64" applyFont="1" applyBorder="1" applyAlignment="1">
      <alignment horizontal="center"/>
      <protection/>
    </xf>
    <xf numFmtId="0" fontId="8" fillId="35" borderId="10" xfId="64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 horizontal="left" wrapText="1"/>
      <protection/>
    </xf>
    <xf numFmtId="0" fontId="13" fillId="0" borderId="0" xfId="64" applyFont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10" fillId="35" borderId="10" xfId="64" applyFont="1" applyFill="1" applyBorder="1" applyAlignment="1">
      <alignment horizontal="left" wrapText="1"/>
      <protection/>
    </xf>
    <xf numFmtId="0" fontId="2" fillId="37" borderId="0" xfId="58" applyFont="1" applyFill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3" fontId="2" fillId="37" borderId="0" xfId="58" applyNumberFormat="1" applyFont="1" applyFill="1" applyAlignment="1">
      <alignment horizontal="right" vertical="top" wrapText="1"/>
      <protection/>
    </xf>
    <xf numFmtId="0" fontId="3" fillId="37" borderId="0" xfId="58" applyFont="1" applyFill="1" applyAlignment="1">
      <alignment horizontal="left" vertical="top" wrapText="1"/>
      <protection/>
    </xf>
    <xf numFmtId="0" fontId="14" fillId="0" borderId="0" xfId="0" applyFont="1" applyAlignment="1">
      <alignment horizontal="left" vertical="top" wrapText="1"/>
    </xf>
    <xf numFmtId="3" fontId="3" fillId="37" borderId="0" xfId="58" applyNumberFormat="1" applyFont="1" applyFill="1" applyAlignment="1">
      <alignment horizontal="right" vertical="top" wrapText="1"/>
      <protection/>
    </xf>
    <xf numFmtId="0" fontId="10" fillId="37" borderId="0" xfId="58" applyFont="1" applyFill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117" fillId="37" borderId="0" xfId="58" applyFont="1" applyFill="1" applyAlignment="1">
      <alignment horizontal="right" vertical="top" wrapText="1"/>
      <protection/>
    </xf>
    <xf numFmtId="0" fontId="104" fillId="0" borderId="0" xfId="0" applyFont="1" applyAlignment="1">
      <alignment horizontal="right" vertical="top" wrapText="1"/>
    </xf>
    <xf numFmtId="0" fontId="10" fillId="3" borderId="0" xfId="58" applyFont="1" applyFill="1" applyAlignment="1">
      <alignment horizontal="left" vertical="top" wrapText="1"/>
      <protection/>
    </xf>
    <xf numFmtId="0" fontId="0" fillId="3" borderId="0" xfId="0" applyFont="1" applyFill="1" applyAlignment="1">
      <alignment horizontal="left" vertical="top" wrapText="1"/>
    </xf>
    <xf numFmtId="0" fontId="3" fillId="3" borderId="0" xfId="58" applyFont="1" applyFill="1" applyAlignment="1">
      <alignment horizontal="left" vertical="top" wrapText="1"/>
      <protection/>
    </xf>
    <xf numFmtId="0" fontId="14" fillId="3" borderId="0" xfId="0" applyFont="1" applyFill="1" applyAlignment="1">
      <alignment horizontal="left" vertical="top" wrapText="1"/>
    </xf>
    <xf numFmtId="3" fontId="3" fillId="3" borderId="0" xfId="58" applyNumberFormat="1" applyFont="1" applyFill="1" applyAlignment="1">
      <alignment horizontal="right" vertical="top" wrapText="1"/>
      <protection/>
    </xf>
    <xf numFmtId="0" fontId="2" fillId="3" borderId="0" xfId="58" applyFont="1" applyFill="1" applyAlignment="1">
      <alignment horizontal="left" vertical="top" wrapText="1"/>
      <protection/>
    </xf>
    <xf numFmtId="3" fontId="2" fillId="3" borderId="0" xfId="58" applyNumberFormat="1" applyFont="1" applyFill="1" applyAlignment="1">
      <alignment horizontal="right" vertical="top" wrapText="1"/>
      <protection/>
    </xf>
    <xf numFmtId="0" fontId="10" fillId="3" borderId="0" xfId="58" applyFont="1" applyFill="1" applyAlignment="1">
      <alignment horizontal="left" vertical="center" wrapText="1"/>
      <protection/>
    </xf>
    <xf numFmtId="0" fontId="14" fillId="3" borderId="0" xfId="0" applyFont="1" applyFill="1" applyAlignment="1">
      <alignment horizontal="left" vertical="center" wrapText="1"/>
    </xf>
    <xf numFmtId="0" fontId="5" fillId="37" borderId="0" xfId="58" applyFont="1" applyFill="1" applyAlignment="1">
      <alignment horizontal="right" vertical="top" wrapText="1"/>
      <protection/>
    </xf>
    <xf numFmtId="0" fontId="0" fillId="0" borderId="0" xfId="0" applyFont="1" applyAlignment="1">
      <alignment horizontal="right" vertical="top" wrapText="1"/>
    </xf>
    <xf numFmtId="0" fontId="13" fillId="37" borderId="0" xfId="58" applyFont="1" applyFill="1" applyAlignment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10" fillId="37" borderId="38" xfId="58" applyFont="1" applyFill="1" applyBorder="1" applyAlignment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0" fillId="37" borderId="10" xfId="58" applyFont="1" applyFill="1" applyBorder="1" applyAlignment="1">
      <alignment horizontal="center" vertical="top" wrapText="1"/>
      <protection/>
    </xf>
    <xf numFmtId="0" fontId="10" fillId="0" borderId="0" xfId="59" applyFont="1" applyAlignment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8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59" applyFont="1" applyAlignment="1">
      <alignment horizontal="right"/>
      <protection/>
    </xf>
    <xf numFmtId="0" fontId="5" fillId="0" borderId="0" xfId="59" applyFont="1" applyFill="1" applyAlignment="1">
      <alignment horizontal="right"/>
      <protection/>
    </xf>
    <xf numFmtId="0" fontId="5" fillId="0" borderId="0" xfId="59" applyFont="1" applyFill="1" applyBorder="1" applyAlignment="1">
      <alignment horizontal="right"/>
      <protection/>
    </xf>
    <xf numFmtId="0" fontId="5" fillId="0" borderId="0" xfId="63" applyFont="1" applyFill="1" applyAlignment="1">
      <alignment horizontal="right" vertical="center"/>
      <protection/>
    </xf>
    <xf numFmtId="10" fontId="11" fillId="0" borderId="0" xfId="59" applyNumberFormat="1" applyFont="1" applyAlignment="1">
      <alignment horizontal="center"/>
      <protection/>
    </xf>
    <xf numFmtId="10" fontId="23" fillId="0" borderId="0" xfId="59" applyNumberFormat="1" applyFont="1" applyAlignment="1">
      <alignment horizontal="right"/>
      <protection/>
    </xf>
    <xf numFmtId="0" fontId="5" fillId="0" borderId="0" xfId="59" applyFont="1" applyBorder="1" applyAlignment="1">
      <alignment horizontal="right"/>
      <protection/>
    </xf>
    <xf numFmtId="0" fontId="5" fillId="0" borderId="0" xfId="59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0" fontId="5" fillId="0" borderId="0" xfId="64" applyFont="1" applyAlignment="1">
      <alignment horizontal="right" vertical="center"/>
      <protection/>
    </xf>
    <xf numFmtId="0" fontId="112" fillId="0" borderId="0" xfId="64" applyFont="1" applyAlignment="1">
      <alignment horizontal="righ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5 2 2" xfId="62"/>
    <cellStyle name="Normal 6 2 3" xfId="63"/>
    <cellStyle name="Normal 7" xfId="64"/>
    <cellStyle name="Normal 9 2" xfId="65"/>
    <cellStyle name="Normal_Pamatformas 2" xfId="66"/>
    <cellStyle name="Note" xfId="67"/>
    <cellStyle name="Output" xfId="68"/>
    <cellStyle name="Percent" xfId="69"/>
    <cellStyle name="Percent 4 2" xfId="70"/>
    <cellStyle name="Percent 6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88" sqref="A88:C88"/>
    </sheetView>
  </sheetViews>
  <sheetFormatPr defaultColWidth="9.140625" defaultRowHeight="12.75"/>
  <cols>
    <col min="1" max="1" width="12.140625" style="2" customWidth="1"/>
    <col min="2" max="2" width="62.421875" style="2" customWidth="1"/>
    <col min="3" max="3" width="13.7109375" style="36" customWidth="1"/>
    <col min="4" max="16384" width="9.140625" style="2" customWidth="1"/>
  </cols>
  <sheetData>
    <row r="1" spans="1:3" s="52" customFormat="1" ht="15.75">
      <c r="A1" s="32"/>
      <c r="B1" s="32"/>
      <c r="C1" s="189" t="s">
        <v>0</v>
      </c>
    </row>
    <row r="2" spans="1:3" ht="15.75">
      <c r="A2" s="1"/>
      <c r="B2" s="479" t="s">
        <v>1051</v>
      </c>
      <c r="C2" s="479"/>
    </row>
    <row r="3" spans="1:3" ht="15">
      <c r="A3" s="1"/>
      <c r="B3" s="480" t="s">
        <v>1052</v>
      </c>
      <c r="C3" s="480"/>
    </row>
    <row r="4" spans="1:3" ht="15">
      <c r="A4" s="1"/>
      <c r="B4" s="1"/>
      <c r="C4" s="5"/>
    </row>
    <row r="5" spans="1:3" ht="15">
      <c r="A5" s="481" t="s">
        <v>1053</v>
      </c>
      <c r="B5" s="481"/>
      <c r="C5" s="481"/>
    </row>
    <row r="6" spans="1:3" ht="15">
      <c r="A6" s="1"/>
      <c r="B6" s="4" t="s">
        <v>1</v>
      </c>
      <c r="C6" s="5"/>
    </row>
    <row r="7" spans="1:3" ht="15">
      <c r="A7" s="1"/>
      <c r="B7" s="4"/>
      <c r="C7" s="5"/>
    </row>
    <row r="8" spans="1:3" ht="29.25">
      <c r="A8" s="6" t="s">
        <v>2</v>
      </c>
      <c r="B8" s="7" t="s">
        <v>3</v>
      </c>
      <c r="C8" s="7" t="s">
        <v>610</v>
      </c>
    </row>
    <row r="9" spans="1:3" ht="15">
      <c r="A9" s="8"/>
      <c r="B9" s="9" t="s">
        <v>4</v>
      </c>
      <c r="C9" s="108">
        <f>C10+C20+C47+C57</f>
        <v>97369543</v>
      </c>
    </row>
    <row r="10" spans="1:3" ht="15">
      <c r="A10" s="8"/>
      <c r="B10" s="9" t="s">
        <v>5</v>
      </c>
      <c r="C10" s="108">
        <f>C11+C13+C17</f>
        <v>57943787</v>
      </c>
    </row>
    <row r="11" spans="1:3" ht="15">
      <c r="A11" s="10" t="s">
        <v>6</v>
      </c>
      <c r="B11" s="11" t="s">
        <v>7</v>
      </c>
      <c r="C11" s="104">
        <f>C12</f>
        <v>53949482</v>
      </c>
    </row>
    <row r="12" spans="1:3" ht="30">
      <c r="A12" s="12" t="s">
        <v>8</v>
      </c>
      <c r="B12" s="13" t="s">
        <v>9</v>
      </c>
      <c r="C12" s="105">
        <v>53949482</v>
      </c>
    </row>
    <row r="13" spans="1:3" ht="15">
      <c r="A13" s="14" t="s">
        <v>10</v>
      </c>
      <c r="B13" s="11" t="s">
        <v>11</v>
      </c>
      <c r="C13" s="104">
        <f>SUM(C14:C16)</f>
        <v>3874000</v>
      </c>
    </row>
    <row r="14" spans="1:3" ht="15">
      <c r="A14" s="12" t="s">
        <v>12</v>
      </c>
      <c r="B14" s="13" t="s">
        <v>13</v>
      </c>
      <c r="C14" s="105">
        <v>1473561</v>
      </c>
    </row>
    <row r="15" spans="1:3" ht="15">
      <c r="A15" s="15" t="s">
        <v>14</v>
      </c>
      <c r="B15" s="16" t="s">
        <v>15</v>
      </c>
      <c r="C15" s="106">
        <v>1524393</v>
      </c>
    </row>
    <row r="16" spans="1:3" ht="15">
      <c r="A16" s="15" t="s">
        <v>16</v>
      </c>
      <c r="B16" s="16" t="s">
        <v>17</v>
      </c>
      <c r="C16" s="106">
        <v>876046</v>
      </c>
    </row>
    <row r="17" spans="1:3" ht="15">
      <c r="A17" s="17" t="s">
        <v>18</v>
      </c>
      <c r="B17" s="11" t="s">
        <v>19</v>
      </c>
      <c r="C17" s="107">
        <f>C18+C19</f>
        <v>120305</v>
      </c>
    </row>
    <row r="18" spans="1:3" ht="15">
      <c r="A18" s="12" t="s">
        <v>20</v>
      </c>
      <c r="B18" s="13" t="s">
        <v>21</v>
      </c>
      <c r="C18" s="105">
        <v>85305</v>
      </c>
    </row>
    <row r="19" spans="1:3" ht="15">
      <c r="A19" s="12" t="s">
        <v>22</v>
      </c>
      <c r="B19" s="13" t="s">
        <v>23</v>
      </c>
      <c r="C19" s="105">
        <v>35000</v>
      </c>
    </row>
    <row r="20" spans="1:3" ht="15">
      <c r="A20" s="8"/>
      <c r="B20" s="9" t="s">
        <v>24</v>
      </c>
      <c r="C20" s="108">
        <f>C21+C35+C39+C44</f>
        <v>776898</v>
      </c>
    </row>
    <row r="21" spans="1:3" ht="15">
      <c r="A21" s="14" t="s">
        <v>25</v>
      </c>
      <c r="B21" s="11" t="s">
        <v>26</v>
      </c>
      <c r="C21" s="104">
        <f>C22+C27</f>
        <v>56000</v>
      </c>
    </row>
    <row r="22" spans="1:3" ht="15">
      <c r="A22" s="18" t="s">
        <v>27</v>
      </c>
      <c r="B22" s="19" t="s">
        <v>28</v>
      </c>
      <c r="C22" s="104">
        <f>SUM(C23:C26)</f>
        <v>16000</v>
      </c>
    </row>
    <row r="23" spans="1:3" ht="30">
      <c r="A23" s="12" t="s">
        <v>29</v>
      </c>
      <c r="B23" s="13" t="s">
        <v>30</v>
      </c>
      <c r="C23" s="109">
        <v>3500</v>
      </c>
    </row>
    <row r="24" spans="1:3" ht="45">
      <c r="A24" s="12" t="s">
        <v>31</v>
      </c>
      <c r="B24" s="13" t="s">
        <v>32</v>
      </c>
      <c r="C24" s="105">
        <v>10000</v>
      </c>
    </row>
    <row r="25" spans="1:3" ht="15">
      <c r="A25" s="12" t="s">
        <v>540</v>
      </c>
      <c r="B25" s="13" t="s">
        <v>541</v>
      </c>
      <c r="C25" s="105">
        <v>500</v>
      </c>
    </row>
    <row r="26" spans="1:3" ht="15" customHeight="1">
      <c r="A26" s="12" t="s">
        <v>33</v>
      </c>
      <c r="B26" s="13" t="s">
        <v>34</v>
      </c>
      <c r="C26" s="105">
        <v>2000</v>
      </c>
    </row>
    <row r="27" spans="1:3" ht="15">
      <c r="A27" s="18" t="s">
        <v>35</v>
      </c>
      <c r="B27" s="19" t="s">
        <v>36</v>
      </c>
      <c r="C27" s="104">
        <f>SUM(C28:C34)</f>
        <v>40000</v>
      </c>
    </row>
    <row r="28" spans="1:3" ht="30">
      <c r="A28" s="12" t="s">
        <v>37</v>
      </c>
      <c r="B28" s="13" t="s">
        <v>38</v>
      </c>
      <c r="C28" s="105">
        <v>4000</v>
      </c>
    </row>
    <row r="29" spans="1:3" ht="30">
      <c r="A29" s="12" t="s">
        <v>39</v>
      </c>
      <c r="B29" s="13" t="s">
        <v>40</v>
      </c>
      <c r="C29" s="105">
        <v>500</v>
      </c>
    </row>
    <row r="30" spans="1:3" ht="15">
      <c r="A30" s="12" t="s">
        <v>41</v>
      </c>
      <c r="B30" s="13" t="s">
        <v>42</v>
      </c>
      <c r="C30" s="105">
        <v>2500</v>
      </c>
    </row>
    <row r="31" spans="1:3" ht="15">
      <c r="A31" s="12" t="s">
        <v>43</v>
      </c>
      <c r="B31" s="13" t="s">
        <v>44</v>
      </c>
      <c r="C31" s="105">
        <v>4000</v>
      </c>
    </row>
    <row r="32" spans="1:3" ht="30">
      <c r="A32" s="12" t="s">
        <v>45</v>
      </c>
      <c r="B32" s="13" t="s">
        <v>46</v>
      </c>
      <c r="C32" s="105">
        <v>10000</v>
      </c>
    </row>
    <row r="33" spans="1:3" ht="30">
      <c r="A33" s="12" t="s">
        <v>47</v>
      </c>
      <c r="B33" s="13" t="s">
        <v>48</v>
      </c>
      <c r="C33" s="105">
        <v>15000</v>
      </c>
    </row>
    <row r="34" spans="1:3" ht="15">
      <c r="A34" s="12" t="s">
        <v>49</v>
      </c>
      <c r="B34" s="13" t="s">
        <v>50</v>
      </c>
      <c r="C34" s="105">
        <v>4000</v>
      </c>
    </row>
    <row r="35" spans="1:3" ht="15">
      <c r="A35" s="14" t="s">
        <v>51</v>
      </c>
      <c r="B35" s="11" t="s">
        <v>52</v>
      </c>
      <c r="C35" s="104">
        <f>C36</f>
        <v>170000</v>
      </c>
    </row>
    <row r="36" spans="1:3" ht="15">
      <c r="A36" s="18" t="s">
        <v>53</v>
      </c>
      <c r="B36" s="11" t="s">
        <v>54</v>
      </c>
      <c r="C36" s="104">
        <f>C37+C38</f>
        <v>170000</v>
      </c>
    </row>
    <row r="37" spans="1:3" ht="15">
      <c r="A37" s="12" t="s">
        <v>55</v>
      </c>
      <c r="B37" s="13" t="s">
        <v>56</v>
      </c>
      <c r="C37" s="109">
        <v>47000</v>
      </c>
    </row>
    <row r="38" spans="1:3" ht="30">
      <c r="A38" s="12" t="s">
        <v>57</v>
      </c>
      <c r="B38" s="13" t="s">
        <v>58</v>
      </c>
      <c r="C38" s="105">
        <v>123000</v>
      </c>
    </row>
    <row r="39" spans="1:3" s="21" customFormat="1" ht="15">
      <c r="A39" s="210" t="s">
        <v>59</v>
      </c>
      <c r="B39" s="211" t="s">
        <v>60</v>
      </c>
      <c r="C39" s="107">
        <f>C40+C42</f>
        <v>321000</v>
      </c>
    </row>
    <row r="40" spans="1:3" s="21" customFormat="1" ht="29.25">
      <c r="A40" s="26" t="s">
        <v>61</v>
      </c>
      <c r="B40" s="20" t="s">
        <v>62</v>
      </c>
      <c r="C40" s="107">
        <f>C41</f>
        <v>71000</v>
      </c>
    </row>
    <row r="41" spans="1:3" s="21" customFormat="1" ht="30">
      <c r="A41" s="15" t="s">
        <v>63</v>
      </c>
      <c r="B41" s="16" t="s">
        <v>64</v>
      </c>
      <c r="C41" s="106">
        <v>71000</v>
      </c>
    </row>
    <row r="42" spans="1:3" s="21" customFormat="1" ht="15">
      <c r="A42" s="26" t="s">
        <v>611</v>
      </c>
      <c r="B42" s="20" t="s">
        <v>612</v>
      </c>
      <c r="C42" s="107">
        <f>C43</f>
        <v>250000</v>
      </c>
    </row>
    <row r="43" spans="1:3" s="21" customFormat="1" ht="15">
      <c r="A43" s="15" t="s">
        <v>613</v>
      </c>
      <c r="B43" s="16" t="s">
        <v>614</v>
      </c>
      <c r="C43" s="106">
        <v>250000</v>
      </c>
    </row>
    <row r="44" spans="1:3" ht="29.25">
      <c r="A44" s="14" t="s">
        <v>65</v>
      </c>
      <c r="B44" s="11" t="s">
        <v>66</v>
      </c>
      <c r="C44" s="104">
        <f>C45+C46</f>
        <v>229898</v>
      </c>
    </row>
    <row r="45" spans="1:3" ht="15">
      <c r="A45" s="12" t="s">
        <v>67</v>
      </c>
      <c r="B45" s="13" t="s">
        <v>68</v>
      </c>
      <c r="C45" s="105">
        <v>106920</v>
      </c>
    </row>
    <row r="46" spans="1:3" ht="15">
      <c r="A46" s="12" t="s">
        <v>69</v>
      </c>
      <c r="B46" s="13" t="s">
        <v>70</v>
      </c>
      <c r="C46" s="105">
        <v>122978</v>
      </c>
    </row>
    <row r="47" spans="1:3" ht="15">
      <c r="A47" s="8"/>
      <c r="B47" s="9" t="s">
        <v>71</v>
      </c>
      <c r="C47" s="108">
        <f>C50+C55+C48</f>
        <v>36342824</v>
      </c>
    </row>
    <row r="48" spans="1:3" s="21" customFormat="1" ht="28.5" hidden="1">
      <c r="A48" s="17" t="s">
        <v>72</v>
      </c>
      <c r="B48" s="62" t="s">
        <v>73</v>
      </c>
      <c r="C48" s="107">
        <f>C49</f>
        <v>0</v>
      </c>
    </row>
    <row r="49" spans="1:3" s="21" customFormat="1" ht="45" hidden="1">
      <c r="A49" s="22" t="s">
        <v>74</v>
      </c>
      <c r="B49" s="60" t="s">
        <v>75</v>
      </c>
      <c r="C49" s="105"/>
    </row>
    <row r="50" spans="1:3" ht="15">
      <c r="A50" s="14" t="s">
        <v>76</v>
      </c>
      <c r="B50" s="11" t="s">
        <v>77</v>
      </c>
      <c r="C50" s="104">
        <f>C51</f>
        <v>35272253</v>
      </c>
    </row>
    <row r="51" spans="1:3" ht="15">
      <c r="A51" s="18" t="s">
        <v>78</v>
      </c>
      <c r="B51" s="19" t="s">
        <v>79</v>
      </c>
      <c r="C51" s="104">
        <f>C52+C53+C54</f>
        <v>35272253</v>
      </c>
    </row>
    <row r="52" spans="1:3" ht="15">
      <c r="A52" s="22" t="s">
        <v>80</v>
      </c>
      <c r="B52" s="13" t="s">
        <v>81</v>
      </c>
      <c r="C52" s="105">
        <f>28709544-9814</f>
        <v>28699730</v>
      </c>
    </row>
    <row r="53" spans="1:3" ht="45">
      <c r="A53" s="22" t="s">
        <v>82</v>
      </c>
      <c r="B53" s="13" t="s">
        <v>83</v>
      </c>
      <c r="C53" s="106">
        <v>1452945</v>
      </c>
    </row>
    <row r="54" spans="1:3" ht="30">
      <c r="A54" s="22" t="s">
        <v>84</v>
      </c>
      <c r="B54" s="13" t="s">
        <v>85</v>
      </c>
      <c r="C54" s="105">
        <v>5119578</v>
      </c>
    </row>
    <row r="55" spans="1:3" ht="15">
      <c r="A55" s="23" t="s">
        <v>86</v>
      </c>
      <c r="B55" s="11" t="s">
        <v>87</v>
      </c>
      <c r="C55" s="104">
        <f>SUM(C56)</f>
        <v>1070571</v>
      </c>
    </row>
    <row r="56" spans="1:3" ht="15">
      <c r="A56" s="22" t="s">
        <v>88</v>
      </c>
      <c r="B56" s="13" t="s">
        <v>89</v>
      </c>
      <c r="C56" s="105">
        <v>1070571</v>
      </c>
    </row>
    <row r="57" spans="1:5" s="25" customFormat="1" ht="14.25">
      <c r="A57" s="9"/>
      <c r="B57" s="9" t="s">
        <v>90</v>
      </c>
      <c r="C57" s="108">
        <f>SUM(C58)</f>
        <v>2306034</v>
      </c>
      <c r="D57" s="24"/>
      <c r="E57" s="24"/>
    </row>
    <row r="58" spans="1:5" ht="15">
      <c r="A58" s="14" t="s">
        <v>91</v>
      </c>
      <c r="B58" s="11" t="s">
        <v>92</v>
      </c>
      <c r="C58" s="104">
        <f>C59+C62+C79</f>
        <v>2306034</v>
      </c>
      <c r="D58" s="3"/>
      <c r="E58" s="3"/>
    </row>
    <row r="59" spans="1:5" ht="15">
      <c r="A59" s="26" t="s">
        <v>93</v>
      </c>
      <c r="B59" s="20" t="s">
        <v>94</v>
      </c>
      <c r="C59" s="107">
        <f>C61+C60</f>
        <v>45859</v>
      </c>
      <c r="D59" s="3"/>
      <c r="E59" s="3"/>
    </row>
    <row r="60" spans="1:5" ht="60" hidden="1">
      <c r="A60" s="126" t="s">
        <v>95</v>
      </c>
      <c r="B60" s="16" t="s">
        <v>96</v>
      </c>
      <c r="C60" s="106"/>
      <c r="D60" s="3"/>
      <c r="E60" s="3"/>
    </row>
    <row r="61" spans="1:5" ht="30">
      <c r="A61" s="22" t="s">
        <v>97</v>
      </c>
      <c r="B61" s="13" t="s">
        <v>98</v>
      </c>
      <c r="C61" s="106">
        <v>45859</v>
      </c>
      <c r="D61" s="3"/>
      <c r="E61" s="3"/>
    </row>
    <row r="62" spans="1:5" ht="29.25">
      <c r="A62" s="18" t="s">
        <v>99</v>
      </c>
      <c r="B62" s="19" t="s">
        <v>100</v>
      </c>
      <c r="C62" s="104">
        <f>C63+C66+C68+C73</f>
        <v>2135407</v>
      </c>
      <c r="D62" s="3"/>
      <c r="E62" s="3"/>
    </row>
    <row r="63" spans="1:5" ht="15">
      <c r="A63" s="18" t="s">
        <v>101</v>
      </c>
      <c r="B63" s="11" t="s">
        <v>102</v>
      </c>
      <c r="C63" s="104">
        <f>C64+C65</f>
        <v>369863</v>
      </c>
      <c r="D63" s="3"/>
      <c r="E63" s="3"/>
    </row>
    <row r="64" spans="1:5" ht="15">
      <c r="A64" s="12" t="s">
        <v>103</v>
      </c>
      <c r="B64" s="13" t="s">
        <v>104</v>
      </c>
      <c r="C64" s="105">
        <v>140910</v>
      </c>
      <c r="D64" s="3"/>
      <c r="E64" s="3"/>
    </row>
    <row r="65" spans="1:5" ht="15">
      <c r="A65" s="12" t="s">
        <v>105</v>
      </c>
      <c r="B65" s="13" t="s">
        <v>106</v>
      </c>
      <c r="C65" s="106">
        <v>228953</v>
      </c>
      <c r="D65" s="3"/>
      <c r="E65" s="3"/>
    </row>
    <row r="66" spans="1:5" ht="29.25">
      <c r="A66" s="18" t="s">
        <v>107</v>
      </c>
      <c r="B66" s="11" t="s">
        <v>108</v>
      </c>
      <c r="C66" s="104">
        <f>C67</f>
        <v>290</v>
      </c>
      <c r="D66" s="3"/>
      <c r="E66" s="3"/>
    </row>
    <row r="67" spans="1:5" ht="30">
      <c r="A67" s="12" t="s">
        <v>109</v>
      </c>
      <c r="B67" s="13" t="s">
        <v>110</v>
      </c>
      <c r="C67" s="109">
        <v>290</v>
      </c>
      <c r="D67" s="3"/>
      <c r="E67" s="3"/>
    </row>
    <row r="68" spans="1:5" ht="15">
      <c r="A68" s="18" t="s">
        <v>111</v>
      </c>
      <c r="B68" s="11" t="s">
        <v>112</v>
      </c>
      <c r="C68" s="104">
        <f>SUM(C69:C72)</f>
        <v>781562</v>
      </c>
      <c r="D68" s="3"/>
      <c r="E68" s="3"/>
    </row>
    <row r="69" spans="1:5" ht="15">
      <c r="A69" s="12" t="s">
        <v>113</v>
      </c>
      <c r="B69" s="13" t="s">
        <v>114</v>
      </c>
      <c r="C69" s="105">
        <v>509282</v>
      </c>
      <c r="D69" s="3"/>
      <c r="E69" s="3"/>
    </row>
    <row r="70" spans="1:5" ht="15">
      <c r="A70" s="12" t="s">
        <v>115</v>
      </c>
      <c r="B70" s="13" t="s">
        <v>116</v>
      </c>
      <c r="C70" s="106">
        <v>62900</v>
      </c>
      <c r="D70" s="3"/>
      <c r="E70" s="3"/>
    </row>
    <row r="71" spans="1:5" ht="15">
      <c r="A71" s="12" t="s">
        <v>117</v>
      </c>
      <c r="B71" s="13" t="s">
        <v>118</v>
      </c>
      <c r="C71" s="106">
        <v>117954</v>
      </c>
      <c r="D71" s="3"/>
      <c r="E71" s="3"/>
    </row>
    <row r="72" spans="1:5" ht="15">
      <c r="A72" s="12" t="s">
        <v>119</v>
      </c>
      <c r="B72" s="13" t="s">
        <v>120</v>
      </c>
      <c r="C72" s="106">
        <v>91426</v>
      </c>
      <c r="D72" s="3"/>
      <c r="E72" s="3"/>
    </row>
    <row r="73" spans="1:5" ht="16.5" customHeight="1">
      <c r="A73" s="18" t="s">
        <v>121</v>
      </c>
      <c r="B73" s="19" t="s">
        <v>122</v>
      </c>
      <c r="C73" s="104">
        <f>SUM(C74:C78)</f>
        <v>983692</v>
      </c>
      <c r="D73" s="3"/>
      <c r="E73" s="3"/>
    </row>
    <row r="74" spans="1:5" ht="16.5" customHeight="1">
      <c r="A74" s="12" t="s">
        <v>123</v>
      </c>
      <c r="B74" s="13" t="s">
        <v>124</v>
      </c>
      <c r="C74" s="105">
        <v>23860</v>
      </c>
      <c r="D74" s="3"/>
      <c r="E74" s="3"/>
    </row>
    <row r="75" spans="1:5" ht="16.5" customHeight="1">
      <c r="A75" s="12" t="s">
        <v>125</v>
      </c>
      <c r="B75" s="13" t="s">
        <v>126</v>
      </c>
      <c r="C75" s="106">
        <v>566290</v>
      </c>
      <c r="D75" s="3"/>
      <c r="E75" s="3"/>
    </row>
    <row r="76" spans="1:5" ht="16.5" customHeight="1" hidden="1">
      <c r="A76" s="15" t="s">
        <v>127</v>
      </c>
      <c r="B76" s="16" t="s">
        <v>128</v>
      </c>
      <c r="C76" s="106"/>
      <c r="D76" s="3"/>
      <c r="E76" s="3"/>
    </row>
    <row r="77" spans="1:5" ht="16.5" customHeight="1">
      <c r="A77" s="12" t="s">
        <v>129</v>
      </c>
      <c r="B77" s="13" t="s">
        <v>130</v>
      </c>
      <c r="C77" s="106">
        <v>6420</v>
      </c>
      <c r="D77" s="3"/>
      <c r="E77" s="3"/>
    </row>
    <row r="78" spans="1:5" ht="16.5" customHeight="1">
      <c r="A78" s="12" t="s">
        <v>131</v>
      </c>
      <c r="B78" s="13" t="s">
        <v>132</v>
      </c>
      <c r="C78" s="106">
        <v>387122</v>
      </c>
      <c r="D78" s="3"/>
      <c r="E78" s="3"/>
    </row>
    <row r="79" spans="1:5" ht="30.75" customHeight="1">
      <c r="A79" s="18" t="s">
        <v>133</v>
      </c>
      <c r="B79" s="19" t="s">
        <v>134</v>
      </c>
      <c r="C79" s="104">
        <f>C82+C80+C81</f>
        <v>124768</v>
      </c>
      <c r="D79" s="3"/>
      <c r="E79" s="3"/>
    </row>
    <row r="80" spans="1:5" ht="15">
      <c r="A80" s="12" t="s">
        <v>452</v>
      </c>
      <c r="B80" s="13" t="s">
        <v>454</v>
      </c>
      <c r="C80" s="106">
        <v>30000</v>
      </c>
      <c r="D80" s="3"/>
      <c r="E80" s="3"/>
    </row>
    <row r="81" spans="1:5" ht="30" hidden="1">
      <c r="A81" s="12" t="s">
        <v>453</v>
      </c>
      <c r="B81" s="13" t="s">
        <v>455</v>
      </c>
      <c r="C81" s="106"/>
      <c r="D81" s="3"/>
      <c r="E81" s="3"/>
    </row>
    <row r="82" spans="1:5" ht="15">
      <c r="A82" s="12" t="s">
        <v>135</v>
      </c>
      <c r="B82" s="13" t="s">
        <v>136</v>
      </c>
      <c r="C82" s="106">
        <v>94768</v>
      </c>
      <c r="D82" s="3"/>
      <c r="E82" s="3"/>
    </row>
    <row r="83" spans="1:3" ht="15">
      <c r="A83" s="27"/>
      <c r="B83" s="9" t="s">
        <v>137</v>
      </c>
      <c r="C83" s="108">
        <f>SUM(C84:C85)</f>
        <v>22717112</v>
      </c>
    </row>
    <row r="84" spans="1:3" ht="15">
      <c r="A84" s="28" t="s">
        <v>138</v>
      </c>
      <c r="B84" s="29" t="s">
        <v>139</v>
      </c>
      <c r="C84" s="110">
        <v>11420939</v>
      </c>
    </row>
    <row r="85" spans="1:3" ht="15">
      <c r="A85" s="30" t="s">
        <v>140</v>
      </c>
      <c r="B85" s="31" t="s">
        <v>141</v>
      </c>
      <c r="C85" s="110">
        <f>11559900-263727</f>
        <v>11296173</v>
      </c>
    </row>
    <row r="86" spans="1:3" ht="15">
      <c r="A86" s="27"/>
      <c r="B86" s="9" t="s">
        <v>142</v>
      </c>
      <c r="C86" s="108">
        <f>C9+C83</f>
        <v>120086655</v>
      </c>
    </row>
    <row r="87" spans="1:3" ht="15">
      <c r="A87" s="1"/>
      <c r="B87" s="94"/>
      <c r="C87" s="5"/>
    </row>
    <row r="88" spans="1:3" ht="15.75">
      <c r="A88" s="666" t="s">
        <v>1054</v>
      </c>
      <c r="B88" s="666"/>
      <c r="C88" s="666"/>
    </row>
    <row r="89" spans="1:3" ht="15">
      <c r="A89" s="50"/>
      <c r="B89" s="50"/>
      <c r="C89" s="212"/>
    </row>
    <row r="90" spans="1:3" ht="15">
      <c r="A90" s="50"/>
      <c r="B90" s="50"/>
      <c r="C90" s="212"/>
    </row>
    <row r="95" spans="2:3" ht="15">
      <c r="B95" s="34"/>
      <c r="C95" s="35"/>
    </row>
  </sheetData>
  <sheetProtection/>
  <mergeCells count="4">
    <mergeCell ref="B2:C2"/>
    <mergeCell ref="B3:C3"/>
    <mergeCell ref="A5:C5"/>
    <mergeCell ref="A88:C88"/>
  </mergeCells>
  <printOptions horizontalCentered="1"/>
  <pageMargins left="0.7874015748031497" right="0.3937007874015748" top="0.7874015748031497" bottom="0.3937007874015748" header="0.1968503937007874" footer="0.1968503937007874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30" sqref="A30:G30"/>
    </sheetView>
  </sheetViews>
  <sheetFormatPr defaultColWidth="9.140625" defaultRowHeight="12.75"/>
  <cols>
    <col min="1" max="1" width="10.7109375" style="39" customWidth="1"/>
    <col min="2" max="2" width="55.140625" style="39" customWidth="1"/>
    <col min="3" max="3" width="15.28125" style="39" customWidth="1"/>
    <col min="4" max="4" width="14.7109375" style="39" customWidth="1"/>
    <col min="5" max="5" width="12.00390625" style="39" customWidth="1"/>
    <col min="6" max="6" width="14.140625" style="39" customWidth="1"/>
    <col min="7" max="7" width="12.00390625" style="39" customWidth="1"/>
    <col min="8" max="8" width="14.421875" style="39" customWidth="1"/>
    <col min="9" max="16384" width="9.140625" style="39" customWidth="1"/>
  </cols>
  <sheetData>
    <row r="1" spans="1:7" ht="15.75">
      <c r="A1" s="37"/>
      <c r="B1" s="37"/>
      <c r="C1" s="37"/>
      <c r="D1" s="37"/>
      <c r="E1" s="37"/>
      <c r="F1" s="37"/>
      <c r="G1" s="38" t="s">
        <v>1065</v>
      </c>
    </row>
    <row r="2" spans="1:7" ht="15">
      <c r="A2" s="37"/>
      <c r="B2" s="37"/>
      <c r="C2" s="37"/>
      <c r="D2" s="37"/>
      <c r="E2" s="37"/>
      <c r="F2" s="37"/>
      <c r="G2" s="40" t="s">
        <v>1057</v>
      </c>
    </row>
    <row r="3" spans="1:7" ht="15">
      <c r="A3" s="37"/>
      <c r="B3" s="37"/>
      <c r="C3" s="37"/>
      <c r="D3" s="37"/>
      <c r="E3" s="37"/>
      <c r="F3" s="37"/>
      <c r="G3" s="41" t="s">
        <v>1052</v>
      </c>
    </row>
    <row r="4" spans="1:7" ht="20.25">
      <c r="A4" s="482" t="s">
        <v>1053</v>
      </c>
      <c r="B4" s="482"/>
      <c r="C4" s="482"/>
      <c r="D4" s="482"/>
      <c r="E4" s="482"/>
      <c r="F4" s="482"/>
      <c r="G4" s="482"/>
    </row>
    <row r="5" spans="1:7" ht="20.25">
      <c r="A5" s="483" t="s">
        <v>143</v>
      </c>
      <c r="B5" s="483"/>
      <c r="C5" s="483"/>
      <c r="D5" s="483"/>
      <c r="E5" s="483"/>
      <c r="F5" s="483"/>
      <c r="G5" s="483"/>
    </row>
    <row r="6" spans="1:7" ht="20.25">
      <c r="A6" s="230"/>
      <c r="B6" s="230"/>
      <c r="C6" s="230"/>
      <c r="D6" s="230"/>
      <c r="E6" s="230"/>
      <c r="F6" s="230"/>
      <c r="G6" s="230"/>
    </row>
    <row r="7" spans="1:7" s="42" customFormat="1" ht="14.25">
      <c r="A7" s="484" t="s">
        <v>2</v>
      </c>
      <c r="B7" s="484" t="s">
        <v>144</v>
      </c>
      <c r="C7" s="484" t="s">
        <v>616</v>
      </c>
      <c r="D7" s="485" t="s">
        <v>145</v>
      </c>
      <c r="E7" s="485"/>
      <c r="F7" s="485"/>
      <c r="G7" s="485"/>
    </row>
    <row r="8" spans="1:7" s="42" customFormat="1" ht="42.75">
      <c r="A8" s="484"/>
      <c r="B8" s="484"/>
      <c r="C8" s="484"/>
      <c r="D8" s="95" t="s">
        <v>146</v>
      </c>
      <c r="E8" s="95" t="s">
        <v>147</v>
      </c>
      <c r="F8" s="95" t="s">
        <v>77</v>
      </c>
      <c r="G8" s="95" t="s">
        <v>148</v>
      </c>
    </row>
    <row r="9" spans="1:7" s="43" customFormat="1" ht="16.5">
      <c r="A9" s="96"/>
      <c r="B9" s="97" t="s">
        <v>149</v>
      </c>
      <c r="C9" s="170">
        <f>C10+C11+C12+C13+C14+C16+C17+C18+C15</f>
        <v>115042273</v>
      </c>
      <c r="D9" s="170">
        <f>D10+D11+D12+D13+D14+D16+D17+D18+D15</f>
        <v>80218723</v>
      </c>
      <c r="E9" s="171">
        <f>E10+E11+E12+E13+E14+E16+E17+E18+E15</f>
        <v>3339769</v>
      </c>
      <c r="F9" s="171">
        <f>F10+F11+F12+F13+F14+F16+F17+F18+F15</f>
        <v>30413210</v>
      </c>
      <c r="G9" s="171">
        <f>G10+G11+G12+G13+G14+G16+G17+G18+G15</f>
        <v>1070571</v>
      </c>
    </row>
    <row r="10" spans="1:9" ht="15">
      <c r="A10" s="116" t="s">
        <v>150</v>
      </c>
      <c r="B10" s="115" t="s">
        <v>151</v>
      </c>
      <c r="C10" s="104">
        <f>D10+E10+F10+G10</f>
        <v>14331579</v>
      </c>
      <c r="D10" s="109">
        <f>'3.pielikums'!D10</f>
        <v>12481026</v>
      </c>
      <c r="E10" s="109">
        <f>'3.pielikums'!E10</f>
        <v>445413</v>
      </c>
      <c r="F10" s="109">
        <f>'3.pielikums'!F10</f>
        <v>399623</v>
      </c>
      <c r="G10" s="109">
        <f>'3.pielikums'!G10</f>
        <v>1005517</v>
      </c>
      <c r="I10" s="44"/>
    </row>
    <row r="11" spans="1:7" ht="15">
      <c r="A11" s="116" t="s">
        <v>152</v>
      </c>
      <c r="B11" s="115" t="s">
        <v>153</v>
      </c>
      <c r="C11" s="104">
        <f aca="true" t="shared" si="0" ref="C11:C18">D11+E11+F11+G11</f>
        <v>4577917</v>
      </c>
      <c r="D11" s="109">
        <f>'3.pielikums'!D34</f>
        <v>4064273</v>
      </c>
      <c r="E11" s="109">
        <f>'3.pielikums'!E34</f>
        <v>498354</v>
      </c>
      <c r="F11" s="109">
        <f>'3.pielikums'!F34</f>
        <v>0</v>
      </c>
      <c r="G11" s="110">
        <f>'3.pielikums'!G34</f>
        <v>15290</v>
      </c>
    </row>
    <row r="12" spans="1:7" ht="15">
      <c r="A12" s="116" t="s">
        <v>154</v>
      </c>
      <c r="B12" s="115" t="s">
        <v>155</v>
      </c>
      <c r="C12" s="104">
        <f t="shared" si="0"/>
        <v>16098109</v>
      </c>
      <c r="D12" s="109">
        <f>'3.pielikums'!D41</f>
        <v>13012712</v>
      </c>
      <c r="E12" s="109">
        <f>'3.pielikums'!E41</f>
        <v>147298</v>
      </c>
      <c r="F12" s="109">
        <f>'3.pielikums'!F41</f>
        <v>2908099</v>
      </c>
      <c r="G12" s="110">
        <f>'3.pielikums'!G41</f>
        <v>30000</v>
      </c>
    </row>
    <row r="13" spans="1:7" ht="15">
      <c r="A13" s="116" t="s">
        <v>18</v>
      </c>
      <c r="B13" s="115" t="s">
        <v>156</v>
      </c>
      <c r="C13" s="104">
        <f t="shared" si="0"/>
        <v>2949351</v>
      </c>
      <c r="D13" s="109">
        <f>'3.pielikums'!D64</f>
        <v>2929351</v>
      </c>
      <c r="E13" s="109">
        <f>'3.pielikums'!E64</f>
        <v>0</v>
      </c>
      <c r="F13" s="109">
        <f>'3.pielikums'!F64</f>
        <v>20000</v>
      </c>
      <c r="G13" s="110">
        <f>'3.pielikums'!G64</f>
        <v>0</v>
      </c>
    </row>
    <row r="14" spans="1:7" ht="15">
      <c r="A14" s="116" t="s">
        <v>157</v>
      </c>
      <c r="B14" s="115" t="s">
        <v>158</v>
      </c>
      <c r="C14" s="104">
        <f t="shared" si="0"/>
        <v>5263438</v>
      </c>
      <c r="D14" s="109">
        <f>'3.pielikums'!D76</f>
        <v>4934540</v>
      </c>
      <c r="E14" s="109">
        <f>'3.pielikums'!E76</f>
        <v>183342</v>
      </c>
      <c r="F14" s="109">
        <f>'3.pielikums'!F76</f>
        <v>145556</v>
      </c>
      <c r="G14" s="110">
        <f>'3.pielikums'!G76</f>
        <v>0</v>
      </c>
    </row>
    <row r="15" spans="1:7" ht="15">
      <c r="A15" s="116" t="s">
        <v>159</v>
      </c>
      <c r="B15" s="115" t="s">
        <v>160</v>
      </c>
      <c r="C15" s="104">
        <f t="shared" si="0"/>
        <v>105768</v>
      </c>
      <c r="D15" s="109">
        <f>'3.pielikums'!D92</f>
        <v>92598</v>
      </c>
      <c r="E15" s="109">
        <f>'3.pielikums'!E92</f>
        <v>0</v>
      </c>
      <c r="F15" s="109">
        <f>'3.pielikums'!F92</f>
        <v>13170</v>
      </c>
      <c r="G15" s="110">
        <f>'3.pielikums'!G92</f>
        <v>0</v>
      </c>
    </row>
    <row r="16" spans="1:7" ht="15">
      <c r="A16" s="116" t="s">
        <v>161</v>
      </c>
      <c r="B16" s="115" t="s">
        <v>162</v>
      </c>
      <c r="C16" s="104">
        <f t="shared" si="0"/>
        <v>7586922</v>
      </c>
      <c r="D16" s="109">
        <f>'3.pielikums'!D99</f>
        <v>6283213</v>
      </c>
      <c r="E16" s="109">
        <f>'3.pielikums'!E99</f>
        <v>957656</v>
      </c>
      <c r="F16" s="109">
        <f>'3.pielikums'!F99</f>
        <v>326289</v>
      </c>
      <c r="G16" s="110">
        <f>'3.pielikums'!G99</f>
        <v>19764</v>
      </c>
    </row>
    <row r="17" spans="1:7" ht="15">
      <c r="A17" s="116" t="s">
        <v>25</v>
      </c>
      <c r="B17" s="115" t="s">
        <v>163</v>
      </c>
      <c r="C17" s="104">
        <f t="shared" si="0"/>
        <v>51471594</v>
      </c>
      <c r="D17" s="109">
        <f>'3.pielikums'!D128</f>
        <v>27087535</v>
      </c>
      <c r="E17" s="109">
        <f>'3.pielikums'!E128</f>
        <v>1015277</v>
      </c>
      <c r="F17" s="109">
        <f>'3.pielikums'!F128</f>
        <v>23368782</v>
      </c>
      <c r="G17" s="109">
        <f>'3.pielikums'!G128</f>
        <v>0</v>
      </c>
    </row>
    <row r="18" spans="1:7" ht="15">
      <c r="A18" s="117" t="s">
        <v>51</v>
      </c>
      <c r="B18" s="111" t="s">
        <v>164</v>
      </c>
      <c r="C18" s="104">
        <f t="shared" si="0"/>
        <v>12657595</v>
      </c>
      <c r="D18" s="110">
        <f>'3.pielikums'!D174</f>
        <v>9333475</v>
      </c>
      <c r="E18" s="110">
        <f>'3.pielikums'!E174</f>
        <v>92429</v>
      </c>
      <c r="F18" s="110">
        <f>'3.pielikums'!F174</f>
        <v>3231691</v>
      </c>
      <c r="G18" s="110">
        <f>'3.pielikums'!G174</f>
        <v>0</v>
      </c>
    </row>
    <row r="19" spans="1:7" s="43" customFormat="1" ht="16.5">
      <c r="A19" s="96"/>
      <c r="B19" s="96" t="s">
        <v>165</v>
      </c>
      <c r="C19" s="170">
        <f>C20+C21+C27</f>
        <v>5044382</v>
      </c>
      <c r="D19" s="170">
        <f>D20+D21+D27</f>
        <v>3901735</v>
      </c>
      <c r="E19" s="170">
        <f>E20+E21+E27</f>
        <v>0</v>
      </c>
      <c r="F19" s="170">
        <f>F20+F21+F27</f>
        <v>1142647</v>
      </c>
      <c r="G19" s="170">
        <f>G20+G21+G27</f>
        <v>0</v>
      </c>
    </row>
    <row r="20" spans="1:7" s="114" customFormat="1" ht="16.5" customHeight="1">
      <c r="A20" s="112" t="s">
        <v>166</v>
      </c>
      <c r="B20" s="113" t="s">
        <v>167</v>
      </c>
      <c r="C20" s="104">
        <f aca="true" t="shared" si="1" ref="C20:C26">D20+E20+F20+G20</f>
        <v>4495164</v>
      </c>
      <c r="D20" s="109">
        <f>'3.pielikums'!D211</f>
        <v>3352517</v>
      </c>
      <c r="E20" s="109">
        <f>'3.pielikums'!E211</f>
        <v>0</v>
      </c>
      <c r="F20" s="109">
        <f>'3.pielikums'!F211</f>
        <v>1142647</v>
      </c>
      <c r="G20" s="109">
        <f>'3.pielikums'!G211</f>
        <v>0</v>
      </c>
    </row>
    <row r="21" spans="1:7" s="217" customFormat="1" ht="17.25" customHeight="1">
      <c r="A21" s="112" t="s">
        <v>168</v>
      </c>
      <c r="B21" s="115" t="s">
        <v>169</v>
      </c>
      <c r="C21" s="104">
        <f t="shared" si="1"/>
        <v>389575</v>
      </c>
      <c r="D21" s="109">
        <f>'3.pielikums'!D212</f>
        <v>389575</v>
      </c>
      <c r="E21" s="109">
        <f>'3.pielikums'!E212</f>
        <v>0</v>
      </c>
      <c r="F21" s="109">
        <f>'3.pielikums'!F212</f>
        <v>0</v>
      </c>
      <c r="G21" s="109">
        <f>'3.pielikums'!G212</f>
        <v>0</v>
      </c>
    </row>
    <row r="22" spans="1:7" s="218" customFormat="1" ht="15" hidden="1">
      <c r="A22" s="112"/>
      <c r="B22" s="118" t="s">
        <v>170</v>
      </c>
      <c r="C22" s="105">
        <f t="shared" si="1"/>
        <v>0</v>
      </c>
      <c r="D22" s="105">
        <f>'3.pielikums'!D213</f>
        <v>0</v>
      </c>
      <c r="E22" s="105">
        <f>'3.pielikums'!E213</f>
        <v>0</v>
      </c>
      <c r="F22" s="105">
        <f>'3.pielikums'!F213</f>
        <v>0</v>
      </c>
      <c r="G22" s="105">
        <f>'3.pielikums'!G213</f>
        <v>0</v>
      </c>
    </row>
    <row r="23" spans="1:7" s="218" customFormat="1" ht="15" hidden="1">
      <c r="A23" s="112"/>
      <c r="B23" s="118" t="s">
        <v>171</v>
      </c>
      <c r="C23" s="105">
        <f t="shared" si="1"/>
        <v>0</v>
      </c>
      <c r="D23" s="105">
        <f>'3.pielikums'!D214</f>
        <v>0</v>
      </c>
      <c r="E23" s="105">
        <f>'3.pielikums'!E214</f>
        <v>0</v>
      </c>
      <c r="F23" s="105">
        <f>'3.pielikums'!F214</f>
        <v>0</v>
      </c>
      <c r="G23" s="105">
        <f>'3.pielikums'!G214</f>
        <v>0</v>
      </c>
    </row>
    <row r="24" spans="1:8" s="218" customFormat="1" ht="15">
      <c r="A24" s="119"/>
      <c r="B24" s="118" t="s">
        <v>172</v>
      </c>
      <c r="C24" s="105">
        <f t="shared" si="1"/>
        <v>389575</v>
      </c>
      <c r="D24" s="105">
        <f>'3.pielikums'!D215</f>
        <v>389575</v>
      </c>
      <c r="E24" s="105">
        <f>'3.pielikums'!E215</f>
        <v>0</v>
      </c>
      <c r="F24" s="105">
        <f>'3.pielikums'!F215</f>
        <v>0</v>
      </c>
      <c r="G24" s="105">
        <f>'3.pielikums'!G215</f>
        <v>0</v>
      </c>
      <c r="H24" s="219"/>
    </row>
    <row r="25" spans="1:8" ht="15" hidden="1">
      <c r="A25" s="119"/>
      <c r="B25" s="118" t="s">
        <v>173</v>
      </c>
      <c r="C25" s="105">
        <f t="shared" si="1"/>
        <v>0</v>
      </c>
      <c r="D25" s="105">
        <f>'3.pielikums'!D216</f>
        <v>0</v>
      </c>
      <c r="E25" s="105">
        <f>'3.pielikums'!E216</f>
        <v>0</v>
      </c>
      <c r="F25" s="105">
        <f>'3.pielikums'!F216</f>
        <v>0</v>
      </c>
      <c r="G25" s="105">
        <f>'3.pielikums'!G216</f>
        <v>0</v>
      </c>
      <c r="H25" s="45"/>
    </row>
    <row r="26" spans="1:8" ht="15" hidden="1">
      <c r="A26" s="119"/>
      <c r="B26" s="118" t="s">
        <v>174</v>
      </c>
      <c r="C26" s="105">
        <f t="shared" si="1"/>
        <v>0</v>
      </c>
      <c r="D26" s="105">
        <f>'3.pielikums'!D217</f>
        <v>0</v>
      </c>
      <c r="E26" s="105">
        <f>'3.pielikums'!E217</f>
        <v>0</v>
      </c>
      <c r="F26" s="105">
        <f>'3.pielikums'!F217</f>
        <v>0</v>
      </c>
      <c r="G26" s="105">
        <f>'3.pielikums'!G217</f>
        <v>0</v>
      </c>
      <c r="H26" s="45"/>
    </row>
    <row r="27" spans="1:8" ht="15">
      <c r="A27" s="120" t="s">
        <v>138</v>
      </c>
      <c r="B27" s="111" t="s">
        <v>175</v>
      </c>
      <c r="C27" s="104">
        <f>'3.pielikums'!C218</f>
        <v>159643</v>
      </c>
      <c r="D27" s="109">
        <f>'3.pielikums'!D218</f>
        <v>159643</v>
      </c>
      <c r="E27" s="109">
        <f>'3.pielikums'!E218</f>
        <v>0</v>
      </c>
      <c r="F27" s="109">
        <f>'3.pielikums'!F218</f>
        <v>0</v>
      </c>
      <c r="G27" s="109">
        <f>'3.pielikums'!G218</f>
        <v>0</v>
      </c>
      <c r="H27" s="45"/>
    </row>
    <row r="28" spans="1:7" s="46" customFormat="1" ht="21.75" customHeight="1">
      <c r="A28" s="235"/>
      <c r="B28" s="236" t="s">
        <v>176</v>
      </c>
      <c r="C28" s="237">
        <f>C9+C19</f>
        <v>120086655</v>
      </c>
      <c r="D28" s="237">
        <f>D9+D19</f>
        <v>84120458</v>
      </c>
      <c r="E28" s="237">
        <f>E9+E19</f>
        <v>3339769</v>
      </c>
      <c r="F28" s="237">
        <f>F9+F19</f>
        <v>31555857</v>
      </c>
      <c r="G28" s="237">
        <f>G9+G19</f>
        <v>1070571</v>
      </c>
    </row>
    <row r="29" spans="1:7" s="47" customFormat="1" ht="18.75">
      <c r="A29" s="231"/>
      <c r="B29" s="232"/>
      <c r="C29" s="233"/>
      <c r="D29" s="218"/>
      <c r="E29" s="172"/>
      <c r="F29" s="172"/>
      <c r="G29" s="172"/>
    </row>
    <row r="30" spans="1:7" ht="15.75">
      <c r="A30" s="667" t="s">
        <v>1055</v>
      </c>
      <c r="B30" s="667"/>
      <c r="C30" s="667"/>
      <c r="D30" s="667"/>
      <c r="E30" s="667"/>
      <c r="F30" s="667"/>
      <c r="G30" s="667"/>
    </row>
    <row r="31" spans="1:7" ht="12.75">
      <c r="A31" s="218"/>
      <c r="B31" s="218"/>
      <c r="C31" s="234"/>
      <c r="D31" s="218"/>
      <c r="E31" s="218"/>
      <c r="F31" s="218"/>
      <c r="G31" s="218"/>
    </row>
    <row r="32" s="48" customFormat="1" ht="14.25" customHeight="1">
      <c r="C32" s="49"/>
    </row>
  </sheetData>
  <sheetProtection/>
  <mergeCells count="7">
    <mergeCell ref="A30:G30"/>
    <mergeCell ref="A4:G4"/>
    <mergeCell ref="A5:G5"/>
    <mergeCell ref="A7:A8"/>
    <mergeCell ref="B7:B8"/>
    <mergeCell ref="C7:C8"/>
    <mergeCell ref="D7:G7"/>
  </mergeCells>
  <printOptions horizontalCentered="1"/>
  <pageMargins left="0.7874015748031497" right="0.7874015748031497" top="0.7874015748031497" bottom="0.7874015748031497" header="0.1968503937007874" footer="0.1968503937007874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1"/>
  <sheetViews>
    <sheetView zoomScalePageLayoutView="0" workbookViewId="0" topLeftCell="A1">
      <pane ySplit="8" topLeftCell="A215" activePane="bottomLeft" state="frozen"/>
      <selection pane="topLeft" activeCell="B87" sqref="B87"/>
      <selection pane="bottomLeft" activeCell="M220" sqref="M220"/>
    </sheetView>
  </sheetViews>
  <sheetFormatPr defaultColWidth="9.140625" defaultRowHeight="12.75"/>
  <cols>
    <col min="1" max="1" width="12.7109375" style="2" customWidth="1"/>
    <col min="2" max="2" width="59.57421875" style="53" customWidth="1"/>
    <col min="3" max="3" width="14.57421875" style="56" customWidth="1"/>
    <col min="4" max="4" width="13.7109375" style="75" customWidth="1"/>
    <col min="5" max="5" width="12.140625" style="52" customWidth="1"/>
    <col min="6" max="6" width="13.28125" style="52" customWidth="1"/>
    <col min="7" max="7" width="13.57421875" style="52" customWidth="1"/>
    <col min="8" max="8" width="11.00390625" style="52" bestFit="1" customWidth="1"/>
    <col min="9" max="16384" width="9.140625" style="52" customWidth="1"/>
  </cols>
  <sheetData>
    <row r="1" spans="1:7" ht="15.75">
      <c r="A1" s="50"/>
      <c r="B1" s="169"/>
      <c r="C1" s="143"/>
      <c r="D1" s="213"/>
      <c r="E1" s="144"/>
      <c r="F1" s="144"/>
      <c r="G1" s="51" t="s">
        <v>177</v>
      </c>
    </row>
    <row r="2" spans="1:7" ht="15.75">
      <c r="A2" s="50"/>
      <c r="B2" s="169"/>
      <c r="C2" s="143"/>
      <c r="D2" s="213"/>
      <c r="E2" s="144"/>
      <c r="F2" s="144"/>
      <c r="G2" s="41" t="s">
        <v>1057</v>
      </c>
    </row>
    <row r="3" spans="1:7" ht="15.75">
      <c r="A3" s="50"/>
      <c r="B3" s="169"/>
      <c r="C3" s="143"/>
      <c r="D3" s="213"/>
      <c r="E3" s="144"/>
      <c r="F3" s="144"/>
      <c r="G3" s="41" t="s">
        <v>1056</v>
      </c>
    </row>
    <row r="4" spans="1:7" ht="15.75">
      <c r="A4" s="486" t="s">
        <v>1053</v>
      </c>
      <c r="B4" s="487"/>
      <c r="C4" s="487"/>
      <c r="D4" s="487"/>
      <c r="E4" s="487"/>
      <c r="F4" s="487"/>
      <c r="G4" s="487"/>
    </row>
    <row r="5" spans="1:7" ht="15.75">
      <c r="A5" s="486" t="s">
        <v>178</v>
      </c>
      <c r="B5" s="487"/>
      <c r="C5" s="487"/>
      <c r="D5" s="487"/>
      <c r="E5" s="487"/>
      <c r="F5" s="487"/>
      <c r="G5" s="487"/>
    </row>
    <row r="6" spans="1:7" ht="15.75">
      <c r="A6" s="214"/>
      <c r="B6" s="169"/>
      <c r="C6" s="215"/>
      <c r="D6" s="33"/>
      <c r="E6" s="216"/>
      <c r="F6" s="216"/>
      <c r="G6" s="216"/>
    </row>
    <row r="7" spans="1:7" ht="15.75">
      <c r="A7" s="488" t="s">
        <v>179</v>
      </c>
      <c r="B7" s="488" t="s">
        <v>144</v>
      </c>
      <c r="C7" s="488" t="s">
        <v>615</v>
      </c>
      <c r="D7" s="491" t="s">
        <v>145</v>
      </c>
      <c r="E7" s="492"/>
      <c r="F7" s="492"/>
      <c r="G7" s="492"/>
    </row>
    <row r="8" spans="1:7" s="34" customFormat="1" ht="42.75">
      <c r="A8" s="489"/>
      <c r="B8" s="490"/>
      <c r="C8" s="489"/>
      <c r="D8" s="7" t="s">
        <v>146</v>
      </c>
      <c r="E8" s="7" t="s">
        <v>147</v>
      </c>
      <c r="F8" s="7" t="s">
        <v>180</v>
      </c>
      <c r="G8" s="7" t="s">
        <v>148</v>
      </c>
    </row>
    <row r="9" spans="1:7" s="143" customFormat="1" ht="15.75">
      <c r="A9" s="54"/>
      <c r="B9" s="55" t="s">
        <v>149</v>
      </c>
      <c r="C9" s="173">
        <f>SUM(D9+E9+F9+G9)</f>
        <v>115042273</v>
      </c>
      <c r="D9" s="173">
        <f>SUM(D10+D34+D41+D64+D76+D99+D128+D174+D92)</f>
        <v>80218723</v>
      </c>
      <c r="E9" s="173">
        <f>SUM(E10+E34+E41+E64+E76+E99+E128+E174+E92)</f>
        <v>3339769</v>
      </c>
      <c r="F9" s="173">
        <f>SUM(F10+F34+F41+F64+F76+F99+F128+F174+F92)</f>
        <v>30413210</v>
      </c>
      <c r="G9" s="173">
        <f>SUM(G10+G34+G41+G64+G76+G99+G128+G174+G92)</f>
        <v>1070571</v>
      </c>
    </row>
    <row r="10" spans="1:7" s="56" customFormat="1" ht="15.75">
      <c r="A10" s="57" t="s">
        <v>150</v>
      </c>
      <c r="B10" s="58" t="s">
        <v>151</v>
      </c>
      <c r="C10" s="158">
        <f>SUM(D10+E10+F10+G10)</f>
        <v>14331579</v>
      </c>
      <c r="D10" s="158">
        <f>SUM(D11+D17+D21+D25+D27+D29+D32)</f>
        <v>12481026</v>
      </c>
      <c r="E10" s="158">
        <f>SUM(E11+E17+E21+E25+E27+E29+E32)</f>
        <v>445413</v>
      </c>
      <c r="F10" s="158">
        <f>SUM(F11+F17+F21+F25+F27+F29+F32)</f>
        <v>399623</v>
      </c>
      <c r="G10" s="158">
        <f>SUM(G11+G17+G21+G25+G27+G29+G32)</f>
        <v>1005517</v>
      </c>
    </row>
    <row r="11" spans="1:7" ht="15.75">
      <c r="A11" s="19" t="s">
        <v>6</v>
      </c>
      <c r="B11" s="59" t="s">
        <v>181</v>
      </c>
      <c r="C11" s="174">
        <f>C12+C13+C14+C15+C16</f>
        <v>6069939</v>
      </c>
      <c r="D11" s="174">
        <f>D12+D13+D14+D15+D16</f>
        <v>5262111</v>
      </c>
      <c r="E11" s="174">
        <f>E12+E13+E14+E15+E16</f>
        <v>445413</v>
      </c>
      <c r="F11" s="174">
        <f>F12+F13+F14+F15+F16</f>
        <v>250300</v>
      </c>
      <c r="G11" s="174">
        <f>G12+G13+G14+G15+G16</f>
        <v>112115</v>
      </c>
    </row>
    <row r="12" spans="1:7" s="136" customFormat="1" ht="15.75">
      <c r="A12" s="22" t="s">
        <v>182</v>
      </c>
      <c r="B12" s="127" t="s">
        <v>542</v>
      </c>
      <c r="C12" s="134">
        <f>SUM(D12:G12)</f>
        <v>5173634</v>
      </c>
      <c r="D12" s="135">
        <v>4746618</v>
      </c>
      <c r="E12" s="106">
        <f>153180+15713</f>
        <v>168893</v>
      </c>
      <c r="F12" s="105">
        <f>240000</f>
        <v>240000</v>
      </c>
      <c r="G12" s="105">
        <f>18123</f>
        <v>18123</v>
      </c>
    </row>
    <row r="13" spans="1:7" s="136" customFormat="1" ht="30">
      <c r="A13" s="126" t="s">
        <v>183</v>
      </c>
      <c r="B13" s="127" t="s">
        <v>184</v>
      </c>
      <c r="C13" s="134">
        <f>SUM(D13:G13)</f>
        <v>8482</v>
      </c>
      <c r="D13" s="135">
        <v>0</v>
      </c>
      <c r="E13" s="106">
        <v>0</v>
      </c>
      <c r="F13" s="105">
        <v>8482</v>
      </c>
      <c r="G13" s="105">
        <v>0</v>
      </c>
    </row>
    <row r="14" spans="1:7" s="61" customFormat="1" ht="30">
      <c r="A14" s="126" t="s">
        <v>442</v>
      </c>
      <c r="B14" s="127" t="s">
        <v>441</v>
      </c>
      <c r="C14" s="134">
        <f>SUM(D14:G14)</f>
        <v>600866</v>
      </c>
      <c r="D14" s="135">
        <f>183888+165160</f>
        <v>349048</v>
      </c>
      <c r="E14" s="106">
        <f>250000</f>
        <v>250000</v>
      </c>
      <c r="F14" s="106">
        <f>1818</f>
        <v>1818</v>
      </c>
      <c r="G14" s="106">
        <v>0</v>
      </c>
    </row>
    <row r="15" spans="1:7" s="136" customFormat="1" ht="45">
      <c r="A15" s="126" t="s">
        <v>544</v>
      </c>
      <c r="B15" s="127" t="s">
        <v>545</v>
      </c>
      <c r="C15" s="134">
        <f>SUM(D15:G15)</f>
        <v>286957</v>
      </c>
      <c r="D15" s="135">
        <f>166445</f>
        <v>166445</v>
      </c>
      <c r="E15" s="106">
        <f>22840+3680</f>
        <v>26520</v>
      </c>
      <c r="F15" s="106">
        <v>0</v>
      </c>
      <c r="G15" s="106">
        <v>93992</v>
      </c>
    </row>
    <row r="16" spans="1:7" s="61" customFormat="1" ht="15.75" hidden="1">
      <c r="A16" s="222"/>
      <c r="B16" s="223"/>
      <c r="C16" s="224">
        <f>SUM(D16:G16)</f>
        <v>0</v>
      </c>
      <c r="D16" s="226"/>
      <c r="E16" s="225"/>
      <c r="F16" s="225"/>
      <c r="G16" s="225"/>
    </row>
    <row r="17" spans="1:7" ht="15.75">
      <c r="A17" s="19" t="s">
        <v>185</v>
      </c>
      <c r="B17" s="59" t="s">
        <v>186</v>
      </c>
      <c r="C17" s="107">
        <f>SUM(C18:C20)</f>
        <v>436051</v>
      </c>
      <c r="D17" s="104">
        <f>D18+D20+D19</f>
        <v>436051</v>
      </c>
      <c r="E17" s="104">
        <f>E18+E20+E19</f>
        <v>0</v>
      </c>
      <c r="F17" s="104">
        <f>F18+F20+F19</f>
        <v>0</v>
      </c>
      <c r="G17" s="104">
        <f>G18+G20+G19</f>
        <v>0</v>
      </c>
    </row>
    <row r="18" spans="1:7" s="61" customFormat="1" ht="30">
      <c r="A18" s="126" t="s">
        <v>187</v>
      </c>
      <c r="B18" s="127" t="s">
        <v>543</v>
      </c>
      <c r="C18" s="134">
        <f>SUM(D18+E18+F18+G18)</f>
        <v>100694</v>
      </c>
      <c r="D18" s="105">
        <v>100694</v>
      </c>
      <c r="E18" s="105">
        <v>0</v>
      </c>
      <c r="F18" s="105">
        <v>0</v>
      </c>
      <c r="G18" s="105">
        <v>0</v>
      </c>
    </row>
    <row r="19" spans="1:7" s="61" customFormat="1" ht="30">
      <c r="A19" s="126" t="s">
        <v>188</v>
      </c>
      <c r="B19" s="127" t="s">
        <v>546</v>
      </c>
      <c r="C19" s="134">
        <f>SUM(D19+E19+F19+G19)</f>
        <v>335357</v>
      </c>
      <c r="D19" s="106">
        <v>335357</v>
      </c>
      <c r="E19" s="106">
        <v>0</v>
      </c>
      <c r="F19" s="106">
        <v>0</v>
      </c>
      <c r="G19" s="106">
        <v>0</v>
      </c>
    </row>
    <row r="20" spans="1:7" s="61" customFormat="1" ht="31.5" customHeight="1" hidden="1">
      <c r="A20" s="139" t="s">
        <v>189</v>
      </c>
      <c r="B20" s="140" t="s">
        <v>190</v>
      </c>
      <c r="C20" s="141">
        <f>SUM(D20+E20+F20+G20)</f>
        <v>0</v>
      </c>
      <c r="D20" s="142"/>
      <c r="E20" s="142"/>
      <c r="F20" s="142"/>
      <c r="G20" s="142"/>
    </row>
    <row r="21" spans="1:7" s="199" customFormat="1" ht="19.5" customHeight="1">
      <c r="A21" s="14" t="s">
        <v>191</v>
      </c>
      <c r="B21" s="59" t="s">
        <v>192</v>
      </c>
      <c r="C21" s="107">
        <f>SUM(D21:G21)</f>
        <v>1661368</v>
      </c>
      <c r="D21" s="107">
        <f>SUM(D22:D24)</f>
        <v>1512045</v>
      </c>
      <c r="E21" s="107">
        <f>SUM(E22:E24)</f>
        <v>0</v>
      </c>
      <c r="F21" s="107">
        <f>SUM(F22:F24)</f>
        <v>149323</v>
      </c>
      <c r="G21" s="107">
        <f>SUM(G22:G24)</f>
        <v>0</v>
      </c>
    </row>
    <row r="22" spans="1:7" ht="15.75">
      <c r="A22" s="126" t="s">
        <v>193</v>
      </c>
      <c r="B22" s="127" t="s">
        <v>194</v>
      </c>
      <c r="C22" s="134">
        <f aca="true" t="shared" si="0" ref="C22:C40">SUM(D22+E22+F22+G22)</f>
        <v>855386</v>
      </c>
      <c r="D22" s="106">
        <v>855386</v>
      </c>
      <c r="E22" s="105">
        <v>0</v>
      </c>
      <c r="F22" s="105">
        <v>0</v>
      </c>
      <c r="G22" s="105">
        <v>0</v>
      </c>
    </row>
    <row r="23" spans="1:7" ht="15.75">
      <c r="A23" s="126" t="s">
        <v>547</v>
      </c>
      <c r="B23" s="127" t="s">
        <v>548</v>
      </c>
      <c r="C23" s="134">
        <f t="shared" si="0"/>
        <v>656659</v>
      </c>
      <c r="D23" s="106">
        <v>656659</v>
      </c>
      <c r="E23" s="105">
        <v>0</v>
      </c>
      <c r="F23" s="105">
        <v>0</v>
      </c>
      <c r="G23" s="105">
        <v>0</v>
      </c>
    </row>
    <row r="24" spans="1:7" ht="45">
      <c r="A24" s="126" t="s">
        <v>627</v>
      </c>
      <c r="B24" s="127" t="s">
        <v>628</v>
      </c>
      <c r="C24" s="134">
        <f t="shared" si="0"/>
        <v>149323</v>
      </c>
      <c r="D24" s="106">
        <v>0</v>
      </c>
      <c r="E24" s="105">
        <v>0</v>
      </c>
      <c r="F24" s="105">
        <v>149323</v>
      </c>
      <c r="G24" s="105">
        <v>0</v>
      </c>
    </row>
    <row r="25" spans="1:7" ht="15.75" customHeight="1" hidden="1">
      <c r="A25" s="164" t="s">
        <v>195</v>
      </c>
      <c r="B25" s="163" t="s">
        <v>196</v>
      </c>
      <c r="C25" s="156">
        <f t="shared" si="0"/>
        <v>0</v>
      </c>
      <c r="D25" s="156">
        <f>D26</f>
        <v>0</v>
      </c>
      <c r="E25" s="156">
        <f>E26</f>
        <v>0</v>
      </c>
      <c r="F25" s="156">
        <f>F26</f>
        <v>0</v>
      </c>
      <c r="G25" s="156">
        <f>G26</f>
        <v>0</v>
      </c>
    </row>
    <row r="26" spans="1:7" ht="15.75" hidden="1">
      <c r="A26" s="139" t="s">
        <v>197</v>
      </c>
      <c r="B26" s="140" t="s">
        <v>198</v>
      </c>
      <c r="C26" s="141">
        <f t="shared" si="0"/>
        <v>0</v>
      </c>
      <c r="D26" s="142"/>
      <c r="E26" s="142"/>
      <c r="F26" s="142"/>
      <c r="G26" s="142"/>
    </row>
    <row r="27" spans="1:7" ht="15.75">
      <c r="A27" s="23" t="s">
        <v>199</v>
      </c>
      <c r="B27" s="59" t="s">
        <v>200</v>
      </c>
      <c r="C27" s="107">
        <f t="shared" si="0"/>
        <v>5010038</v>
      </c>
      <c r="D27" s="107">
        <f>D28</f>
        <v>5010038</v>
      </c>
      <c r="E27" s="107">
        <f>E28</f>
        <v>0</v>
      </c>
      <c r="F27" s="107">
        <f>F28</f>
        <v>0</v>
      </c>
      <c r="G27" s="107">
        <f>G28</f>
        <v>0</v>
      </c>
    </row>
    <row r="28" spans="1:7" ht="15.75">
      <c r="A28" s="22" t="s">
        <v>201</v>
      </c>
      <c r="B28" s="60" t="s">
        <v>202</v>
      </c>
      <c r="C28" s="134">
        <f t="shared" si="0"/>
        <v>5010038</v>
      </c>
      <c r="D28" s="106">
        <v>5010038</v>
      </c>
      <c r="E28" s="105">
        <v>0</v>
      </c>
      <c r="F28" s="105">
        <v>0</v>
      </c>
      <c r="G28" s="106">
        <v>0</v>
      </c>
    </row>
    <row r="29" spans="1:7" s="144" customFormat="1" ht="28.5">
      <c r="A29" s="62" t="s">
        <v>203</v>
      </c>
      <c r="B29" s="63" t="s">
        <v>204</v>
      </c>
      <c r="C29" s="107">
        <f t="shared" si="0"/>
        <v>1004183</v>
      </c>
      <c r="D29" s="107">
        <f>D30+D31</f>
        <v>110781</v>
      </c>
      <c r="E29" s="107">
        <f>E30+E31</f>
        <v>0</v>
      </c>
      <c r="F29" s="107">
        <f>F30+F31</f>
        <v>0</v>
      </c>
      <c r="G29" s="107">
        <f>G30+G31</f>
        <v>893402</v>
      </c>
    </row>
    <row r="30" spans="1:7" s="150" customFormat="1" ht="30">
      <c r="A30" s="126" t="s">
        <v>205</v>
      </c>
      <c r="B30" s="127" t="s">
        <v>206</v>
      </c>
      <c r="C30" s="134">
        <f t="shared" si="0"/>
        <v>1004183</v>
      </c>
      <c r="D30" s="106">
        <f>110781</f>
        <v>110781</v>
      </c>
      <c r="E30" s="106">
        <v>0</v>
      </c>
      <c r="F30" s="106">
        <v>0</v>
      </c>
      <c r="G30" s="106">
        <f>893402</f>
        <v>893402</v>
      </c>
    </row>
    <row r="31" spans="1:7" s="61" customFormat="1" ht="30" hidden="1">
      <c r="A31" s="139" t="s">
        <v>207</v>
      </c>
      <c r="B31" s="140" t="s">
        <v>208</v>
      </c>
      <c r="C31" s="141">
        <f t="shared" si="0"/>
        <v>0</v>
      </c>
      <c r="D31" s="142"/>
      <c r="E31" s="142"/>
      <c r="F31" s="142"/>
      <c r="G31" s="142"/>
    </row>
    <row r="32" spans="1:7" s="144" customFormat="1" ht="28.5">
      <c r="A32" s="62" t="s">
        <v>209</v>
      </c>
      <c r="B32" s="63" t="s">
        <v>210</v>
      </c>
      <c r="C32" s="107">
        <f t="shared" si="0"/>
        <v>150000</v>
      </c>
      <c r="D32" s="107">
        <f>D33</f>
        <v>150000</v>
      </c>
      <c r="E32" s="107">
        <f>E33</f>
        <v>0</v>
      </c>
      <c r="F32" s="107">
        <f>F33</f>
        <v>0</v>
      </c>
      <c r="G32" s="107">
        <f>G33</f>
        <v>0</v>
      </c>
    </row>
    <row r="33" spans="1:7" s="144" customFormat="1" ht="15.75">
      <c r="A33" s="157" t="s">
        <v>211</v>
      </c>
      <c r="B33" s="127" t="s">
        <v>536</v>
      </c>
      <c r="C33" s="134">
        <f t="shared" si="0"/>
        <v>150000</v>
      </c>
      <c r="D33" s="106">
        <v>150000</v>
      </c>
      <c r="E33" s="106">
        <v>0</v>
      </c>
      <c r="F33" s="106">
        <v>0</v>
      </c>
      <c r="G33" s="106">
        <v>0</v>
      </c>
    </row>
    <row r="34" spans="1:7" s="143" customFormat="1" ht="15.75">
      <c r="A34" s="57" t="s">
        <v>152</v>
      </c>
      <c r="B34" s="58" t="s">
        <v>153</v>
      </c>
      <c r="C34" s="158">
        <f t="shared" si="0"/>
        <v>4577917</v>
      </c>
      <c r="D34" s="158">
        <f>D35+D38</f>
        <v>4064273</v>
      </c>
      <c r="E34" s="158">
        <f>E35+E38</f>
        <v>498354</v>
      </c>
      <c r="F34" s="158">
        <f>F35+F38</f>
        <v>0</v>
      </c>
      <c r="G34" s="158">
        <f>G35+G38</f>
        <v>15290</v>
      </c>
    </row>
    <row r="35" spans="1:7" s="143" customFormat="1" ht="15.75">
      <c r="A35" s="62" t="s">
        <v>212</v>
      </c>
      <c r="B35" s="63" t="s">
        <v>213</v>
      </c>
      <c r="C35" s="107">
        <f t="shared" si="0"/>
        <v>4386616</v>
      </c>
      <c r="D35" s="107">
        <f>D36+D37</f>
        <v>3888262</v>
      </c>
      <c r="E35" s="107">
        <f>E36+E37</f>
        <v>498354</v>
      </c>
      <c r="F35" s="107">
        <f>F36+F37</f>
        <v>0</v>
      </c>
      <c r="G35" s="107">
        <f>G36+G37</f>
        <v>0</v>
      </c>
    </row>
    <row r="36" spans="1:7" s="144" customFormat="1" ht="30">
      <c r="A36" s="126" t="s">
        <v>214</v>
      </c>
      <c r="B36" s="127" t="s">
        <v>549</v>
      </c>
      <c r="C36" s="134">
        <f t="shared" si="0"/>
        <v>4386616</v>
      </c>
      <c r="D36" s="106">
        <v>3888262</v>
      </c>
      <c r="E36" s="106">
        <f>296000+202354</f>
        <v>498354</v>
      </c>
      <c r="F36" s="106">
        <v>0</v>
      </c>
      <c r="G36" s="106">
        <v>0</v>
      </c>
    </row>
    <row r="37" spans="1:7" ht="15.75" hidden="1">
      <c r="A37" s="139"/>
      <c r="B37" s="140"/>
      <c r="C37" s="141">
        <f t="shared" si="0"/>
        <v>0</v>
      </c>
      <c r="D37" s="142"/>
      <c r="E37" s="142"/>
      <c r="F37" s="142"/>
      <c r="G37" s="142"/>
    </row>
    <row r="38" spans="1:7" s="144" customFormat="1" ht="28.5">
      <c r="A38" s="62" t="s">
        <v>215</v>
      </c>
      <c r="B38" s="63" t="s">
        <v>216</v>
      </c>
      <c r="C38" s="107">
        <f t="shared" si="0"/>
        <v>191301</v>
      </c>
      <c r="D38" s="107">
        <f>D39+D40</f>
        <v>176011</v>
      </c>
      <c r="E38" s="107">
        <f>E39+E40</f>
        <v>0</v>
      </c>
      <c r="F38" s="107">
        <f>F39+F40</f>
        <v>0</v>
      </c>
      <c r="G38" s="107">
        <f>G39+G40</f>
        <v>15290</v>
      </c>
    </row>
    <row r="39" spans="1:7" s="136" customFormat="1" ht="15.75">
      <c r="A39" s="126" t="s">
        <v>217</v>
      </c>
      <c r="B39" s="146" t="s">
        <v>550</v>
      </c>
      <c r="C39" s="134">
        <f t="shared" si="0"/>
        <v>191301</v>
      </c>
      <c r="D39" s="106">
        <f>176011</f>
        <v>176011</v>
      </c>
      <c r="E39" s="106">
        <v>0</v>
      </c>
      <c r="F39" s="106">
        <v>0</v>
      </c>
      <c r="G39" s="106">
        <v>15290</v>
      </c>
    </row>
    <row r="40" spans="1:7" s="61" customFormat="1" ht="15.75" hidden="1">
      <c r="A40" s="139"/>
      <c r="B40" s="145"/>
      <c r="C40" s="141">
        <f t="shared" si="0"/>
        <v>0</v>
      </c>
      <c r="D40" s="142"/>
      <c r="E40" s="142"/>
      <c r="F40" s="142"/>
      <c r="G40" s="142"/>
    </row>
    <row r="41" spans="1:7" s="143" customFormat="1" ht="15.75">
      <c r="A41" s="57" t="s">
        <v>154</v>
      </c>
      <c r="B41" s="58" t="s">
        <v>155</v>
      </c>
      <c r="C41" s="158">
        <f>SUM(D41:G41)</f>
        <v>16098109</v>
      </c>
      <c r="D41" s="158">
        <f>SUM(D42+D50+D59+D55)</f>
        <v>13012712</v>
      </c>
      <c r="E41" s="158">
        <f>SUM(E42+E50+E59+E55)</f>
        <v>147298</v>
      </c>
      <c r="F41" s="158">
        <f>SUM(F42+F50+F59+F55)</f>
        <v>2908099</v>
      </c>
      <c r="G41" s="158">
        <f>SUM(G42+G50+G59+G55)</f>
        <v>30000</v>
      </c>
    </row>
    <row r="42" spans="1:7" s="144" customFormat="1" ht="15.75">
      <c r="A42" s="59" t="s">
        <v>218</v>
      </c>
      <c r="B42" s="59" t="s">
        <v>219</v>
      </c>
      <c r="C42" s="107">
        <f>SUM(D42:G42)</f>
        <v>10834691</v>
      </c>
      <c r="D42" s="104">
        <f>SUM(D43:D49)</f>
        <v>8326359</v>
      </c>
      <c r="E42" s="104">
        <f>SUM(E43:E49)</f>
        <v>0</v>
      </c>
      <c r="F42" s="104">
        <f>SUM(F43:F49)</f>
        <v>2508332</v>
      </c>
      <c r="G42" s="104">
        <f>SUM(G43:G49)</f>
        <v>0</v>
      </c>
    </row>
    <row r="43" spans="1:7" s="136" customFormat="1" ht="30">
      <c r="A43" s="126" t="s">
        <v>220</v>
      </c>
      <c r="B43" s="127" t="s">
        <v>554</v>
      </c>
      <c r="C43" s="134">
        <f aca="true" t="shared" si="1" ref="C43:C50">SUM(D43:G43)</f>
        <v>2104101</v>
      </c>
      <c r="D43" s="106">
        <f>535552</f>
        <v>535552</v>
      </c>
      <c r="E43" s="106">
        <v>0</v>
      </c>
      <c r="F43" s="106">
        <f>1540739+27810</f>
        <v>1568549</v>
      </c>
      <c r="G43" s="106">
        <v>0</v>
      </c>
    </row>
    <row r="44" spans="1:7" s="136" customFormat="1" ht="30">
      <c r="A44" s="126" t="s">
        <v>221</v>
      </c>
      <c r="B44" s="159" t="s">
        <v>551</v>
      </c>
      <c r="C44" s="134">
        <f t="shared" si="1"/>
        <v>2496650</v>
      </c>
      <c r="D44" s="106">
        <f>1741901</f>
        <v>1741901</v>
      </c>
      <c r="E44" s="106">
        <v>0</v>
      </c>
      <c r="F44" s="106">
        <f>754749</f>
        <v>754749</v>
      </c>
      <c r="G44" s="106">
        <v>0</v>
      </c>
    </row>
    <row r="45" spans="1:7" s="136" customFormat="1" ht="45">
      <c r="A45" s="15" t="s">
        <v>552</v>
      </c>
      <c r="B45" s="127" t="s">
        <v>553</v>
      </c>
      <c r="C45" s="134">
        <f t="shared" si="1"/>
        <v>282607</v>
      </c>
      <c r="D45" s="106">
        <f>282607</f>
        <v>282607</v>
      </c>
      <c r="E45" s="106">
        <v>0</v>
      </c>
      <c r="F45" s="106">
        <v>0</v>
      </c>
      <c r="G45" s="106">
        <v>0</v>
      </c>
    </row>
    <row r="46" spans="1:7" s="136" customFormat="1" ht="15.75">
      <c r="A46" s="15" t="s">
        <v>629</v>
      </c>
      <c r="B46" s="127" t="s">
        <v>630</v>
      </c>
      <c r="C46" s="134">
        <f t="shared" si="1"/>
        <v>789195</v>
      </c>
      <c r="D46" s="106">
        <f>105652+598697</f>
        <v>704349</v>
      </c>
      <c r="E46" s="106">
        <v>0</v>
      </c>
      <c r="F46" s="106">
        <f>84846</f>
        <v>84846</v>
      </c>
      <c r="G46" s="106">
        <v>0</v>
      </c>
    </row>
    <row r="47" spans="1:7" s="136" customFormat="1" ht="30">
      <c r="A47" s="15" t="s">
        <v>631</v>
      </c>
      <c r="B47" s="127" t="s">
        <v>632</v>
      </c>
      <c r="C47" s="134">
        <f t="shared" si="1"/>
        <v>4830019</v>
      </c>
      <c r="D47" s="106">
        <f>724503+4105516</f>
        <v>4830019</v>
      </c>
      <c r="E47" s="106">
        <v>0</v>
      </c>
      <c r="F47" s="106">
        <v>0</v>
      </c>
      <c r="G47" s="106">
        <v>0</v>
      </c>
    </row>
    <row r="48" spans="1:7" s="136" customFormat="1" ht="45">
      <c r="A48" s="15" t="s">
        <v>633</v>
      </c>
      <c r="B48" s="127" t="s">
        <v>634</v>
      </c>
      <c r="C48" s="134">
        <f t="shared" si="1"/>
        <v>100188</v>
      </c>
      <c r="D48" s="106">
        <v>0</v>
      </c>
      <c r="E48" s="106">
        <v>0</v>
      </c>
      <c r="F48" s="106">
        <v>100188</v>
      </c>
      <c r="G48" s="106">
        <v>0</v>
      </c>
    </row>
    <row r="49" spans="1:7" s="136" customFormat="1" ht="30">
      <c r="A49" s="15" t="s">
        <v>635</v>
      </c>
      <c r="B49" s="127" t="s">
        <v>636</v>
      </c>
      <c r="C49" s="134">
        <f t="shared" si="1"/>
        <v>231931</v>
      </c>
      <c r="D49" s="106">
        <f>34790+197141</f>
        <v>231931</v>
      </c>
      <c r="E49" s="106">
        <v>0</v>
      </c>
      <c r="F49" s="106">
        <v>0</v>
      </c>
      <c r="G49" s="106">
        <v>0</v>
      </c>
    </row>
    <row r="50" spans="1:7" s="144" customFormat="1" ht="15.75">
      <c r="A50" s="147" t="s">
        <v>222</v>
      </c>
      <c r="B50" s="149" t="s">
        <v>223</v>
      </c>
      <c r="C50" s="107">
        <f t="shared" si="1"/>
        <v>950580</v>
      </c>
      <c r="D50" s="107">
        <f>SUM(D51:D54)</f>
        <v>592664</v>
      </c>
      <c r="E50" s="107">
        <f>SUM(E51:E54)</f>
        <v>112029</v>
      </c>
      <c r="F50" s="107">
        <f>SUM(F51:F54)</f>
        <v>215887</v>
      </c>
      <c r="G50" s="107">
        <f>SUM(G51:G54)</f>
        <v>30000</v>
      </c>
    </row>
    <row r="51" spans="1:7" s="136" customFormat="1" ht="30">
      <c r="A51" s="137" t="s">
        <v>224</v>
      </c>
      <c r="B51" s="138" t="s">
        <v>555</v>
      </c>
      <c r="C51" s="134">
        <f aca="true" t="shared" si="2" ref="C51:C58">SUM(D51+E51+F51+G51)</f>
        <v>734693</v>
      </c>
      <c r="D51" s="106">
        <f>592664</f>
        <v>592664</v>
      </c>
      <c r="E51" s="106">
        <f>74000+38029</f>
        <v>112029</v>
      </c>
      <c r="F51" s="106">
        <v>0</v>
      </c>
      <c r="G51" s="106">
        <f>30000</f>
        <v>30000</v>
      </c>
    </row>
    <row r="52" spans="1:7" s="61" customFormat="1" ht="45" hidden="1">
      <c r="A52" s="227" t="s">
        <v>225</v>
      </c>
      <c r="B52" s="228" t="s">
        <v>226</v>
      </c>
      <c r="C52" s="141">
        <f t="shared" si="2"/>
        <v>0</v>
      </c>
      <c r="D52" s="142"/>
      <c r="E52" s="142"/>
      <c r="F52" s="142"/>
      <c r="G52" s="142"/>
    </row>
    <row r="53" spans="1:7" s="136" customFormat="1" ht="45">
      <c r="A53" s="137" t="s">
        <v>227</v>
      </c>
      <c r="B53" s="138" t="s">
        <v>459</v>
      </c>
      <c r="C53" s="134">
        <f t="shared" si="2"/>
        <v>215887</v>
      </c>
      <c r="D53" s="106">
        <f>0</f>
        <v>0</v>
      </c>
      <c r="E53" s="106">
        <v>0</v>
      </c>
      <c r="F53" s="106">
        <f>215887</f>
        <v>215887</v>
      </c>
      <c r="G53" s="106">
        <v>0</v>
      </c>
    </row>
    <row r="54" spans="1:7" s="61" customFormat="1" ht="30" hidden="1">
      <c r="A54" s="227" t="s">
        <v>228</v>
      </c>
      <c r="B54" s="228" t="s">
        <v>229</v>
      </c>
      <c r="C54" s="141">
        <f t="shared" si="2"/>
        <v>0</v>
      </c>
      <c r="D54" s="142"/>
      <c r="E54" s="142"/>
      <c r="F54" s="142"/>
      <c r="G54" s="142"/>
    </row>
    <row r="55" spans="1:7" s="61" customFormat="1" ht="15.75">
      <c r="A55" s="147" t="s">
        <v>230</v>
      </c>
      <c r="B55" s="148" t="s">
        <v>231</v>
      </c>
      <c r="C55" s="107">
        <f>SUM(D55+E55+F55+G55)</f>
        <v>4105272</v>
      </c>
      <c r="D55" s="107">
        <f>D56+D57+D58</f>
        <v>3921392</v>
      </c>
      <c r="E55" s="107">
        <f>E56+E57+E58</f>
        <v>0</v>
      </c>
      <c r="F55" s="107">
        <f>F56+F57+F58</f>
        <v>183880</v>
      </c>
      <c r="G55" s="107">
        <f>G56+G57+G58</f>
        <v>0</v>
      </c>
    </row>
    <row r="56" spans="1:7" s="61" customFormat="1" ht="30">
      <c r="A56" s="137" t="s">
        <v>232</v>
      </c>
      <c r="B56" s="138" t="s">
        <v>233</v>
      </c>
      <c r="C56" s="134">
        <f t="shared" si="2"/>
        <v>3903611</v>
      </c>
      <c r="D56" s="106">
        <f>350648+3478275</f>
        <v>3828923</v>
      </c>
      <c r="E56" s="106">
        <f>0</f>
        <v>0</v>
      </c>
      <c r="F56" s="106">
        <f>74688</f>
        <v>74688</v>
      </c>
      <c r="G56" s="106">
        <v>0</v>
      </c>
    </row>
    <row r="57" spans="1:7" s="136" customFormat="1" ht="15.75">
      <c r="A57" s="137" t="s">
        <v>443</v>
      </c>
      <c r="B57" s="138" t="s">
        <v>448</v>
      </c>
      <c r="C57" s="134">
        <f t="shared" si="2"/>
        <v>42264</v>
      </c>
      <c r="D57" s="106">
        <f>28207</f>
        <v>28207</v>
      </c>
      <c r="E57" s="106">
        <v>0</v>
      </c>
      <c r="F57" s="106">
        <f>14057</f>
        <v>14057</v>
      </c>
      <c r="G57" s="106">
        <v>0</v>
      </c>
    </row>
    <row r="58" spans="1:7" s="136" customFormat="1" ht="15.75">
      <c r="A58" s="137" t="s">
        <v>460</v>
      </c>
      <c r="B58" s="138" t="s">
        <v>461</v>
      </c>
      <c r="C58" s="134">
        <f t="shared" si="2"/>
        <v>159397</v>
      </c>
      <c r="D58" s="106">
        <f>64262</f>
        <v>64262</v>
      </c>
      <c r="E58" s="106">
        <v>0</v>
      </c>
      <c r="F58" s="106">
        <f>95135</f>
        <v>95135</v>
      </c>
      <c r="G58" s="106">
        <v>0</v>
      </c>
    </row>
    <row r="59" spans="1:7" s="61" customFormat="1" ht="15.75">
      <c r="A59" s="147" t="s">
        <v>234</v>
      </c>
      <c r="B59" s="160" t="s">
        <v>235</v>
      </c>
      <c r="C59" s="107">
        <f>SUM(D59:G59)</f>
        <v>207566</v>
      </c>
      <c r="D59" s="107">
        <f>SUM(D60:D63)</f>
        <v>172297</v>
      </c>
      <c r="E59" s="107">
        <f>SUM(E60:E63)</f>
        <v>35269</v>
      </c>
      <c r="F59" s="107">
        <f>SUM(F60:F63)</f>
        <v>0</v>
      </c>
      <c r="G59" s="107">
        <f>SUM(G60:G63)</f>
        <v>0</v>
      </c>
    </row>
    <row r="60" spans="1:7" s="136" customFormat="1" ht="30">
      <c r="A60" s="126" t="s">
        <v>236</v>
      </c>
      <c r="B60" s="127" t="s">
        <v>237</v>
      </c>
      <c r="C60" s="134">
        <f aca="true" t="shared" si="3" ref="C60:C65">SUM(D60+E60+F60+G60)</f>
        <v>78715</v>
      </c>
      <c r="D60" s="106">
        <f>78715</f>
        <v>78715</v>
      </c>
      <c r="E60" s="106">
        <v>0</v>
      </c>
      <c r="F60" s="106">
        <v>0</v>
      </c>
      <c r="G60" s="106">
        <v>0</v>
      </c>
    </row>
    <row r="61" spans="1:7" s="61" customFormat="1" ht="15.75">
      <c r="A61" s="161" t="s">
        <v>238</v>
      </c>
      <c r="B61" s="127" t="s">
        <v>239</v>
      </c>
      <c r="C61" s="134">
        <f t="shared" si="3"/>
        <v>10000</v>
      </c>
      <c r="D61" s="106">
        <v>10000</v>
      </c>
      <c r="E61" s="106">
        <v>0</v>
      </c>
      <c r="F61" s="106">
        <v>0</v>
      </c>
      <c r="G61" s="106">
        <v>0</v>
      </c>
    </row>
    <row r="62" spans="1:7" s="61" customFormat="1" ht="35.25" customHeight="1">
      <c r="A62" s="161" t="s">
        <v>240</v>
      </c>
      <c r="B62" s="127" t="s">
        <v>556</v>
      </c>
      <c r="C62" s="134">
        <f t="shared" si="3"/>
        <v>50000</v>
      </c>
      <c r="D62" s="106">
        <v>50000</v>
      </c>
      <c r="E62" s="106">
        <v>0</v>
      </c>
      <c r="F62" s="106">
        <v>0</v>
      </c>
      <c r="G62" s="106">
        <v>0</v>
      </c>
    </row>
    <row r="63" spans="1:7" s="136" customFormat="1" ht="35.25" customHeight="1">
      <c r="A63" s="161" t="s">
        <v>618</v>
      </c>
      <c r="B63" s="127" t="s">
        <v>617</v>
      </c>
      <c r="C63" s="134">
        <f t="shared" si="3"/>
        <v>68851</v>
      </c>
      <c r="D63" s="106">
        <f>33582</f>
        <v>33582</v>
      </c>
      <c r="E63" s="106">
        <f>35269</f>
        <v>35269</v>
      </c>
      <c r="F63" s="106">
        <v>0</v>
      </c>
      <c r="G63" s="106">
        <v>0</v>
      </c>
    </row>
    <row r="64" spans="1:7" s="56" customFormat="1" ht="15.75">
      <c r="A64" s="57" t="s">
        <v>18</v>
      </c>
      <c r="B64" s="58" t="s">
        <v>156</v>
      </c>
      <c r="C64" s="158">
        <f t="shared" si="3"/>
        <v>2949351</v>
      </c>
      <c r="D64" s="158">
        <f>D65+D68+D70+D73</f>
        <v>2929351</v>
      </c>
      <c r="E64" s="158">
        <f>E65+E68+E70+E73</f>
        <v>0</v>
      </c>
      <c r="F64" s="158">
        <f>F65+F68+F70+F73</f>
        <v>20000</v>
      </c>
      <c r="G64" s="158">
        <f>G65+G68+G70+G73</f>
        <v>0</v>
      </c>
    </row>
    <row r="65" spans="1:7" ht="15.75">
      <c r="A65" s="62" t="s">
        <v>241</v>
      </c>
      <c r="B65" s="63" t="s">
        <v>242</v>
      </c>
      <c r="C65" s="107">
        <f t="shared" si="3"/>
        <v>2257378</v>
      </c>
      <c r="D65" s="107">
        <f>SUM(D66+D67)</f>
        <v>2257378</v>
      </c>
      <c r="E65" s="104">
        <f>SUM(E66+E67)</f>
        <v>0</v>
      </c>
      <c r="F65" s="104">
        <f>SUM(F66+F67)</f>
        <v>0</v>
      </c>
      <c r="G65" s="104">
        <f>SUM(G66+G67)</f>
        <v>0</v>
      </c>
    </row>
    <row r="66" spans="1:7" s="136" customFormat="1" ht="30">
      <c r="A66" s="126" t="s">
        <v>243</v>
      </c>
      <c r="B66" s="127" t="s">
        <v>244</v>
      </c>
      <c r="C66" s="134">
        <f aca="true" t="shared" si="4" ref="C66:C75">SUM(D66+E66+F66+G66)</f>
        <v>1470639</v>
      </c>
      <c r="D66" s="106">
        <f>1470639</f>
        <v>1470639</v>
      </c>
      <c r="E66" s="106">
        <v>0</v>
      </c>
      <c r="F66" s="106">
        <v>0</v>
      </c>
      <c r="G66" s="106">
        <v>0</v>
      </c>
    </row>
    <row r="67" spans="1:7" s="61" customFormat="1" ht="18.75" customHeight="1">
      <c r="A67" s="126" t="s">
        <v>245</v>
      </c>
      <c r="B67" s="127" t="s">
        <v>246</v>
      </c>
      <c r="C67" s="134">
        <f t="shared" si="4"/>
        <v>786739</v>
      </c>
      <c r="D67" s="106">
        <v>786739</v>
      </c>
      <c r="E67" s="106">
        <v>0</v>
      </c>
      <c r="F67" s="106">
        <v>0</v>
      </c>
      <c r="G67" s="106">
        <v>0</v>
      </c>
    </row>
    <row r="68" spans="1:7" ht="15.75">
      <c r="A68" s="62" t="s">
        <v>247</v>
      </c>
      <c r="B68" s="63" t="s">
        <v>248</v>
      </c>
      <c r="C68" s="107">
        <f t="shared" si="4"/>
        <v>467510</v>
      </c>
      <c r="D68" s="107">
        <f>D69</f>
        <v>467510</v>
      </c>
      <c r="E68" s="107">
        <f>E69</f>
        <v>0</v>
      </c>
      <c r="F68" s="107">
        <f>F69</f>
        <v>0</v>
      </c>
      <c r="G68" s="107">
        <f>G69</f>
        <v>0</v>
      </c>
    </row>
    <row r="69" spans="1:7" s="144" customFormat="1" ht="15.75">
      <c r="A69" s="126" t="s">
        <v>249</v>
      </c>
      <c r="B69" s="127" t="s">
        <v>248</v>
      </c>
      <c r="C69" s="134">
        <f t="shared" si="4"/>
        <v>467510</v>
      </c>
      <c r="D69" s="106">
        <f>467510</f>
        <v>467510</v>
      </c>
      <c r="E69" s="106">
        <v>0</v>
      </c>
      <c r="F69" s="106">
        <v>0</v>
      </c>
      <c r="G69" s="106">
        <v>0</v>
      </c>
    </row>
    <row r="70" spans="1:7" ht="15.75">
      <c r="A70" s="62" t="s">
        <v>250</v>
      </c>
      <c r="B70" s="162" t="s">
        <v>251</v>
      </c>
      <c r="C70" s="107">
        <f t="shared" si="4"/>
        <v>181063</v>
      </c>
      <c r="D70" s="107">
        <f>SUM(D71:D72)</f>
        <v>181063</v>
      </c>
      <c r="E70" s="107">
        <f>SUM(E71:E72)</f>
        <v>0</v>
      </c>
      <c r="F70" s="107">
        <f>SUM(F71:F72)</f>
        <v>0</v>
      </c>
      <c r="G70" s="107">
        <f>SUM(G71:G72)</f>
        <v>0</v>
      </c>
    </row>
    <row r="71" spans="1:7" ht="30">
      <c r="A71" s="126" t="s">
        <v>252</v>
      </c>
      <c r="B71" s="16" t="s">
        <v>253</v>
      </c>
      <c r="C71" s="134">
        <f t="shared" si="4"/>
        <v>181063</v>
      </c>
      <c r="D71" s="106">
        <v>181063</v>
      </c>
      <c r="E71" s="106">
        <v>0</v>
      </c>
      <c r="F71" s="106">
        <v>0</v>
      </c>
      <c r="G71" s="106">
        <v>0</v>
      </c>
    </row>
    <row r="72" spans="1:7" ht="15.75" hidden="1">
      <c r="A72" s="139"/>
      <c r="B72" s="140"/>
      <c r="C72" s="141">
        <f t="shared" si="4"/>
        <v>0</v>
      </c>
      <c r="D72" s="142"/>
      <c r="E72" s="142"/>
      <c r="F72" s="142"/>
      <c r="G72" s="142"/>
    </row>
    <row r="73" spans="1:7" ht="15.75">
      <c r="A73" s="210" t="s">
        <v>619</v>
      </c>
      <c r="B73" s="63" t="s">
        <v>622</v>
      </c>
      <c r="C73" s="107">
        <f t="shared" si="4"/>
        <v>43400</v>
      </c>
      <c r="D73" s="107">
        <f>D74+D75</f>
        <v>23400</v>
      </c>
      <c r="E73" s="107">
        <f>E74+E75</f>
        <v>0</v>
      </c>
      <c r="F73" s="107">
        <f>F74+F75</f>
        <v>20000</v>
      </c>
      <c r="G73" s="107">
        <f>G74+G75</f>
        <v>0</v>
      </c>
    </row>
    <row r="74" spans="1:7" ht="45">
      <c r="A74" s="126" t="s">
        <v>620</v>
      </c>
      <c r="B74" s="127" t="s">
        <v>621</v>
      </c>
      <c r="C74" s="134">
        <f t="shared" si="4"/>
        <v>43400</v>
      </c>
      <c r="D74" s="106">
        <f>23400</f>
        <v>23400</v>
      </c>
      <c r="E74" s="106">
        <v>0</v>
      </c>
      <c r="F74" s="106">
        <f>20000</f>
        <v>20000</v>
      </c>
      <c r="G74" s="106">
        <v>0</v>
      </c>
    </row>
    <row r="75" spans="1:7" ht="15.75" hidden="1">
      <c r="A75" s="139"/>
      <c r="B75" s="140"/>
      <c r="C75" s="141">
        <f t="shared" si="4"/>
        <v>0</v>
      </c>
      <c r="D75" s="142"/>
      <c r="E75" s="142"/>
      <c r="F75" s="142"/>
      <c r="G75" s="142"/>
    </row>
    <row r="76" spans="1:7" s="56" customFormat="1" ht="15.75">
      <c r="A76" s="57" t="s">
        <v>157</v>
      </c>
      <c r="B76" s="58" t="s">
        <v>158</v>
      </c>
      <c r="C76" s="158">
        <f>SUM(D76+E76+F76+G76)</f>
        <v>5263438</v>
      </c>
      <c r="D76" s="158">
        <f>SUM(D79+D81+D84+D77)</f>
        <v>4934540</v>
      </c>
      <c r="E76" s="158">
        <f>SUM(E79+E81+E84+E77)</f>
        <v>183342</v>
      </c>
      <c r="F76" s="158">
        <f>SUM(F79+F81+F84+F77)</f>
        <v>145556</v>
      </c>
      <c r="G76" s="158">
        <f>SUM(G79+G81+G84+G77)</f>
        <v>0</v>
      </c>
    </row>
    <row r="77" spans="1:7" s="56" customFormat="1" ht="15.75" hidden="1">
      <c r="A77" s="154" t="s">
        <v>444</v>
      </c>
      <c r="B77" s="155" t="s">
        <v>445</v>
      </c>
      <c r="C77" s="229">
        <f>SUM(D77+E77+F77+G77)</f>
        <v>0</v>
      </c>
      <c r="D77" s="229">
        <f>D78</f>
        <v>0</v>
      </c>
      <c r="E77" s="229">
        <f>E78</f>
        <v>0</v>
      </c>
      <c r="F77" s="229">
        <f>F78</f>
        <v>0</v>
      </c>
      <c r="G77" s="229">
        <f>G78</f>
        <v>0</v>
      </c>
    </row>
    <row r="78" spans="1:7" s="56" customFormat="1" ht="15.75" hidden="1">
      <c r="A78" s="139"/>
      <c r="B78" s="140"/>
      <c r="C78" s="141">
        <f aca="true" t="shared" si="5" ref="C78:C91">SUM(D78+E78+F78+G78)</f>
        <v>0</v>
      </c>
      <c r="D78" s="142"/>
      <c r="E78" s="142"/>
      <c r="F78" s="142"/>
      <c r="G78" s="142"/>
    </row>
    <row r="79" spans="1:7" s="143" customFormat="1" ht="15.75" customHeight="1">
      <c r="A79" s="62" t="s">
        <v>254</v>
      </c>
      <c r="B79" s="63" t="s">
        <v>255</v>
      </c>
      <c r="C79" s="107">
        <f t="shared" si="5"/>
        <v>562383</v>
      </c>
      <c r="D79" s="165">
        <f>D80</f>
        <v>552703</v>
      </c>
      <c r="E79" s="165">
        <f>E80</f>
        <v>0</v>
      </c>
      <c r="F79" s="165">
        <f>F80</f>
        <v>9680</v>
      </c>
      <c r="G79" s="165">
        <f>G80</f>
        <v>0</v>
      </c>
    </row>
    <row r="80" spans="1:7" s="143" customFormat="1" ht="15.75" customHeight="1">
      <c r="A80" s="126" t="s">
        <v>256</v>
      </c>
      <c r="B80" s="127" t="s">
        <v>257</v>
      </c>
      <c r="C80" s="134">
        <f t="shared" si="5"/>
        <v>562383</v>
      </c>
      <c r="D80" s="166">
        <f>334032+218671</f>
        <v>552703</v>
      </c>
      <c r="E80" s="106">
        <v>0</v>
      </c>
      <c r="F80" s="106">
        <f>9680</f>
        <v>9680</v>
      </c>
      <c r="G80" s="106">
        <v>0</v>
      </c>
    </row>
    <row r="81" spans="1:7" s="144" customFormat="1" ht="15.75">
      <c r="A81" s="62" t="s">
        <v>258</v>
      </c>
      <c r="B81" s="63" t="s">
        <v>259</v>
      </c>
      <c r="C81" s="107">
        <f t="shared" si="5"/>
        <v>1121614</v>
      </c>
      <c r="D81" s="107">
        <f>D82+D83</f>
        <v>965535</v>
      </c>
      <c r="E81" s="107">
        <f>E82+E83</f>
        <v>20203</v>
      </c>
      <c r="F81" s="107">
        <f>F82+F83</f>
        <v>135876</v>
      </c>
      <c r="G81" s="107">
        <f>G82+G83</f>
        <v>0</v>
      </c>
    </row>
    <row r="82" spans="1:7" s="144" customFormat="1" ht="15.75">
      <c r="A82" s="126" t="s">
        <v>260</v>
      </c>
      <c r="B82" s="127" t="s">
        <v>259</v>
      </c>
      <c r="C82" s="134">
        <f t="shared" si="5"/>
        <v>642155</v>
      </c>
      <c r="D82" s="106">
        <f>550952+71000</f>
        <v>621952</v>
      </c>
      <c r="E82" s="106">
        <f>20000+203</f>
        <v>20203</v>
      </c>
      <c r="F82" s="106">
        <v>0</v>
      </c>
      <c r="G82" s="106">
        <v>0</v>
      </c>
    </row>
    <row r="83" spans="1:7" ht="60">
      <c r="A83" s="126" t="s">
        <v>637</v>
      </c>
      <c r="B83" s="127" t="s">
        <v>638</v>
      </c>
      <c r="C83" s="107">
        <f t="shared" si="5"/>
        <v>479459</v>
      </c>
      <c r="D83" s="106">
        <f>607310-263727</f>
        <v>343583</v>
      </c>
      <c r="E83" s="106">
        <v>0</v>
      </c>
      <c r="F83" s="106">
        <f>135876</f>
        <v>135876</v>
      </c>
      <c r="G83" s="106">
        <v>0</v>
      </c>
    </row>
    <row r="84" spans="1:7" s="144" customFormat="1" ht="28.5">
      <c r="A84" s="62" t="s">
        <v>261</v>
      </c>
      <c r="B84" s="63" t="s">
        <v>262</v>
      </c>
      <c r="C84" s="107">
        <f t="shared" si="5"/>
        <v>3579441</v>
      </c>
      <c r="D84" s="107">
        <f>SUM(D85:D91)</f>
        <v>3416302</v>
      </c>
      <c r="E84" s="107">
        <f>SUM(E85:E91)</f>
        <v>163139</v>
      </c>
      <c r="F84" s="107">
        <f>SUM(F85:F91)</f>
        <v>0</v>
      </c>
      <c r="G84" s="107">
        <f>SUM(G85:G91)</f>
        <v>0</v>
      </c>
    </row>
    <row r="85" spans="1:7" s="136" customFormat="1" ht="15.75">
      <c r="A85" s="126" t="s">
        <v>263</v>
      </c>
      <c r="B85" s="127" t="s">
        <v>557</v>
      </c>
      <c r="C85" s="134">
        <f t="shared" si="5"/>
        <v>1133040</v>
      </c>
      <c r="D85" s="106">
        <f>1066770</f>
        <v>1066770</v>
      </c>
      <c r="E85" s="106">
        <f>64544+1726</f>
        <v>66270</v>
      </c>
      <c r="F85" s="106">
        <v>0</v>
      </c>
      <c r="G85" s="106">
        <v>0</v>
      </c>
    </row>
    <row r="86" spans="1:7" s="136" customFormat="1" ht="20.25" customHeight="1">
      <c r="A86" s="126" t="s">
        <v>264</v>
      </c>
      <c r="B86" s="127" t="s">
        <v>558</v>
      </c>
      <c r="C86" s="134">
        <f t="shared" si="5"/>
        <v>1830971</v>
      </c>
      <c r="D86" s="106">
        <v>1830971</v>
      </c>
      <c r="E86" s="106">
        <v>0</v>
      </c>
      <c r="F86" s="106">
        <v>0</v>
      </c>
      <c r="G86" s="106">
        <v>0</v>
      </c>
    </row>
    <row r="87" spans="1:7" s="61" customFormat="1" ht="15.75">
      <c r="A87" s="126" t="s">
        <v>265</v>
      </c>
      <c r="B87" s="127" t="s">
        <v>266</v>
      </c>
      <c r="C87" s="134">
        <f t="shared" si="5"/>
        <v>178090</v>
      </c>
      <c r="D87" s="106">
        <v>178090</v>
      </c>
      <c r="E87" s="106">
        <v>0</v>
      </c>
      <c r="F87" s="106">
        <v>0</v>
      </c>
      <c r="G87" s="106">
        <v>0</v>
      </c>
    </row>
    <row r="88" spans="1:7" s="136" customFormat="1" ht="30">
      <c r="A88" s="126" t="s">
        <v>267</v>
      </c>
      <c r="B88" s="127" t="s">
        <v>268</v>
      </c>
      <c r="C88" s="134">
        <f t="shared" si="5"/>
        <v>415140</v>
      </c>
      <c r="D88" s="106">
        <f>318271</f>
        <v>318271</v>
      </c>
      <c r="E88" s="106">
        <f>60000+36869</f>
        <v>96869</v>
      </c>
      <c r="F88" s="106">
        <f>0</f>
        <v>0</v>
      </c>
      <c r="G88" s="106">
        <f>0</f>
        <v>0</v>
      </c>
    </row>
    <row r="89" spans="1:7" s="136" customFormat="1" ht="30">
      <c r="A89" s="126" t="s">
        <v>269</v>
      </c>
      <c r="B89" s="127" t="s">
        <v>270</v>
      </c>
      <c r="C89" s="134">
        <f t="shared" si="5"/>
        <v>10200</v>
      </c>
      <c r="D89" s="106">
        <f>10200</f>
        <v>10200</v>
      </c>
      <c r="E89" s="106">
        <v>0</v>
      </c>
      <c r="F89" s="106">
        <v>0</v>
      </c>
      <c r="G89" s="106">
        <v>0</v>
      </c>
    </row>
    <row r="90" spans="1:7" s="136" customFormat="1" ht="45">
      <c r="A90" s="126" t="s">
        <v>271</v>
      </c>
      <c r="B90" s="127" t="s">
        <v>272</v>
      </c>
      <c r="C90" s="134">
        <f t="shared" si="5"/>
        <v>12000</v>
      </c>
      <c r="D90" s="106">
        <f>12000</f>
        <v>12000</v>
      </c>
      <c r="E90" s="106">
        <v>0</v>
      </c>
      <c r="F90" s="106">
        <v>0</v>
      </c>
      <c r="G90" s="106">
        <v>0</v>
      </c>
    </row>
    <row r="91" spans="1:7" s="61" customFormat="1" ht="15.75" hidden="1">
      <c r="A91" s="139"/>
      <c r="B91" s="140"/>
      <c r="C91" s="141">
        <f t="shared" si="5"/>
        <v>0</v>
      </c>
      <c r="D91" s="142"/>
      <c r="E91" s="142"/>
      <c r="F91" s="142"/>
      <c r="G91" s="142"/>
    </row>
    <row r="92" spans="1:7" s="61" customFormat="1" ht="15.75">
      <c r="A92" s="57" t="s">
        <v>159</v>
      </c>
      <c r="B92" s="58" t="s">
        <v>160</v>
      </c>
      <c r="C92" s="158">
        <f>C93+C94+C95+C96+C97+C98</f>
        <v>105768</v>
      </c>
      <c r="D92" s="158">
        <f>D93+D94+D95+D96+D97+D98</f>
        <v>92598</v>
      </c>
      <c r="E92" s="158">
        <f>E93+E94+E95+E96+E97+E98</f>
        <v>0</v>
      </c>
      <c r="F92" s="158">
        <f>F93+F94+F95+F96+F97+F98</f>
        <v>13170</v>
      </c>
      <c r="G92" s="158">
        <f>G93+G94+G95+G96+G97+G98</f>
        <v>0</v>
      </c>
    </row>
    <row r="93" spans="1:7" s="61" customFormat="1" ht="15.75">
      <c r="A93" s="22" t="s">
        <v>273</v>
      </c>
      <c r="B93" s="60" t="s">
        <v>274</v>
      </c>
      <c r="C93" s="134">
        <f aca="true" t="shared" si="6" ref="C93:C101">SUM(D93+E93+F93+G93)</f>
        <v>63330</v>
      </c>
      <c r="D93" s="105">
        <v>55300</v>
      </c>
      <c r="E93" s="106">
        <v>0</v>
      </c>
      <c r="F93" s="106">
        <f>8030</f>
        <v>8030</v>
      </c>
      <c r="G93" s="106">
        <v>0</v>
      </c>
    </row>
    <row r="94" spans="1:7" s="61" customFormat="1" ht="14.25" customHeight="1">
      <c r="A94" s="22" t="s">
        <v>275</v>
      </c>
      <c r="B94" s="60" t="s">
        <v>276</v>
      </c>
      <c r="C94" s="134">
        <f t="shared" si="6"/>
        <v>11585</v>
      </c>
      <c r="D94" s="105">
        <f>8755</f>
        <v>8755</v>
      </c>
      <c r="E94" s="106">
        <v>0</v>
      </c>
      <c r="F94" s="106">
        <f>2830</f>
        <v>2830</v>
      </c>
      <c r="G94" s="106">
        <v>0</v>
      </c>
    </row>
    <row r="95" spans="1:7" s="61" customFormat="1" ht="15.75">
      <c r="A95" s="22" t="s">
        <v>277</v>
      </c>
      <c r="B95" s="60" t="s">
        <v>278</v>
      </c>
      <c r="C95" s="134">
        <f t="shared" si="6"/>
        <v>27125</v>
      </c>
      <c r="D95" s="105">
        <f>24815</f>
        <v>24815</v>
      </c>
      <c r="E95" s="106">
        <v>0</v>
      </c>
      <c r="F95" s="106">
        <f>2310</f>
        <v>2310</v>
      </c>
      <c r="G95" s="106">
        <v>0</v>
      </c>
    </row>
    <row r="96" spans="1:7" s="61" customFormat="1" ht="15.75">
      <c r="A96" s="22" t="s">
        <v>279</v>
      </c>
      <c r="B96" s="60" t="s">
        <v>280</v>
      </c>
      <c r="C96" s="134">
        <f t="shared" si="6"/>
        <v>3728</v>
      </c>
      <c r="D96" s="105">
        <v>3728</v>
      </c>
      <c r="E96" s="106">
        <v>0</v>
      </c>
      <c r="F96" s="106">
        <v>0</v>
      </c>
      <c r="G96" s="106">
        <v>0</v>
      </c>
    </row>
    <row r="97" spans="1:7" s="61" customFormat="1" ht="15.75" hidden="1">
      <c r="A97" s="139" t="s">
        <v>281</v>
      </c>
      <c r="B97" s="140" t="s">
        <v>282</v>
      </c>
      <c r="C97" s="141">
        <f t="shared" si="6"/>
        <v>0</v>
      </c>
      <c r="D97" s="142"/>
      <c r="E97" s="142"/>
      <c r="F97" s="142"/>
      <c r="G97" s="142"/>
    </row>
    <row r="98" spans="1:7" s="61" customFormat="1" ht="16.5" customHeight="1" hidden="1">
      <c r="A98" s="139" t="s">
        <v>283</v>
      </c>
      <c r="B98" s="140" t="s">
        <v>284</v>
      </c>
      <c r="C98" s="141">
        <f t="shared" si="6"/>
        <v>0</v>
      </c>
      <c r="D98" s="142"/>
      <c r="E98" s="142"/>
      <c r="F98" s="142"/>
      <c r="G98" s="142"/>
    </row>
    <row r="99" spans="1:7" s="56" customFormat="1" ht="15.75">
      <c r="A99" s="57" t="s">
        <v>161</v>
      </c>
      <c r="B99" s="58" t="s">
        <v>162</v>
      </c>
      <c r="C99" s="158">
        <f t="shared" si="6"/>
        <v>7586922</v>
      </c>
      <c r="D99" s="158">
        <f>SUM(D100+D105+D121+D126)</f>
        <v>6283213</v>
      </c>
      <c r="E99" s="158">
        <f>SUM(E100+E105+E121+E126)</f>
        <v>957656</v>
      </c>
      <c r="F99" s="158">
        <f>SUM(F100+F105+F121+F126)</f>
        <v>326289</v>
      </c>
      <c r="G99" s="158">
        <f>SUM(G100+G105+G121+G126)</f>
        <v>19764</v>
      </c>
    </row>
    <row r="100" spans="1:7" ht="15.75">
      <c r="A100" s="23" t="s">
        <v>285</v>
      </c>
      <c r="B100" s="59" t="s">
        <v>286</v>
      </c>
      <c r="C100" s="104">
        <f>SUM(D100+E100+F100+G100)</f>
        <v>1526071</v>
      </c>
      <c r="D100" s="104">
        <f>SUM(D101:D104)</f>
        <v>1199271</v>
      </c>
      <c r="E100" s="104">
        <f>SUM(E101:E104)</f>
        <v>38800</v>
      </c>
      <c r="F100" s="104">
        <f>SUM(F101:F104)</f>
        <v>288000</v>
      </c>
      <c r="G100" s="104">
        <f>SUM(G101:G104)</f>
        <v>0</v>
      </c>
    </row>
    <row r="101" spans="1:7" s="136" customFormat="1" ht="16.5" customHeight="1">
      <c r="A101" s="126" t="s">
        <v>287</v>
      </c>
      <c r="B101" s="127" t="s">
        <v>559</v>
      </c>
      <c r="C101" s="134">
        <f t="shared" si="6"/>
        <v>608271</v>
      </c>
      <c r="D101" s="106">
        <f>569074+397</f>
        <v>569471</v>
      </c>
      <c r="E101" s="106">
        <f>35000+3800</f>
        <v>38800</v>
      </c>
      <c r="F101" s="106">
        <v>0</v>
      </c>
      <c r="G101" s="106">
        <v>0</v>
      </c>
    </row>
    <row r="102" spans="1:7" s="136" customFormat="1" ht="15.75">
      <c r="A102" s="126" t="s">
        <v>288</v>
      </c>
      <c r="B102" s="127" t="s">
        <v>289</v>
      </c>
      <c r="C102" s="134">
        <f aca="true" t="shared" si="7" ref="C102:C108">SUM(D102+E102+F102+G102)</f>
        <v>629800</v>
      </c>
      <c r="D102" s="106">
        <f>629800</f>
        <v>629800</v>
      </c>
      <c r="E102" s="106">
        <v>0</v>
      </c>
      <c r="F102" s="106">
        <v>0</v>
      </c>
      <c r="G102" s="106">
        <v>0</v>
      </c>
    </row>
    <row r="103" spans="1:7" s="61" customFormat="1" ht="15.75" hidden="1">
      <c r="A103" s="222" t="s">
        <v>290</v>
      </c>
      <c r="B103" s="223" t="s">
        <v>291</v>
      </c>
      <c r="C103" s="224">
        <f t="shared" si="7"/>
        <v>0</v>
      </c>
      <c r="D103" s="225"/>
      <c r="E103" s="225"/>
      <c r="F103" s="225"/>
      <c r="G103" s="225"/>
    </row>
    <row r="104" spans="1:7" s="61" customFormat="1" ht="30">
      <c r="A104" s="22" t="s">
        <v>625</v>
      </c>
      <c r="B104" s="60" t="s">
        <v>626</v>
      </c>
      <c r="C104" s="134">
        <f t="shared" si="7"/>
        <v>288000</v>
      </c>
      <c r="D104" s="106">
        <f>0</f>
        <v>0</v>
      </c>
      <c r="E104" s="106">
        <v>0</v>
      </c>
      <c r="F104" s="106">
        <f>288000</f>
        <v>288000</v>
      </c>
      <c r="G104" s="106">
        <v>0</v>
      </c>
    </row>
    <row r="105" spans="1:7" ht="15.75">
      <c r="A105" s="23" t="s">
        <v>292</v>
      </c>
      <c r="B105" s="59" t="s">
        <v>293</v>
      </c>
      <c r="C105" s="107">
        <f t="shared" si="7"/>
        <v>5217439</v>
      </c>
      <c r="D105" s="107">
        <f>D106+D109+D111+D114+D118</f>
        <v>4241448</v>
      </c>
      <c r="E105" s="107">
        <f>E106+E109+E111+E114+E118</f>
        <v>917938</v>
      </c>
      <c r="F105" s="107">
        <f>F106+F109+F111+F114+F118</f>
        <v>38289</v>
      </c>
      <c r="G105" s="104">
        <f>G106+G109+G111+G114+G118</f>
        <v>19764</v>
      </c>
    </row>
    <row r="106" spans="1:7" s="144" customFormat="1" ht="15.75">
      <c r="A106" s="23" t="s">
        <v>294</v>
      </c>
      <c r="B106" s="63" t="s">
        <v>295</v>
      </c>
      <c r="C106" s="107">
        <f t="shared" si="7"/>
        <v>919291</v>
      </c>
      <c r="D106" s="107">
        <f>D107+D108</f>
        <v>872887</v>
      </c>
      <c r="E106" s="107">
        <f>E107+E108</f>
        <v>6505</v>
      </c>
      <c r="F106" s="107">
        <f>F107+F108</f>
        <v>20135</v>
      </c>
      <c r="G106" s="107">
        <f>G107+G108</f>
        <v>19764</v>
      </c>
    </row>
    <row r="107" spans="1:7" s="144" customFormat="1" ht="19.5" customHeight="1">
      <c r="A107" s="22" t="s">
        <v>296</v>
      </c>
      <c r="B107" s="60" t="s">
        <v>560</v>
      </c>
      <c r="C107" s="134">
        <f t="shared" si="7"/>
        <v>919291</v>
      </c>
      <c r="D107" s="106">
        <f>872887</f>
        <v>872887</v>
      </c>
      <c r="E107" s="106">
        <f>3250+3255</f>
        <v>6505</v>
      </c>
      <c r="F107" s="106">
        <f>17673+2462</f>
        <v>20135</v>
      </c>
      <c r="G107" s="106">
        <f>19764</f>
        <v>19764</v>
      </c>
    </row>
    <row r="108" spans="1:7" ht="15.75" hidden="1">
      <c r="A108" s="139"/>
      <c r="B108" s="140"/>
      <c r="C108" s="141">
        <f t="shared" si="7"/>
        <v>0</v>
      </c>
      <c r="D108" s="142"/>
      <c r="E108" s="142"/>
      <c r="F108" s="142"/>
      <c r="G108" s="142"/>
    </row>
    <row r="109" spans="1:7" s="144" customFormat="1" ht="15.75">
      <c r="A109" s="62" t="s">
        <v>297</v>
      </c>
      <c r="B109" s="63" t="s">
        <v>298</v>
      </c>
      <c r="C109" s="107">
        <f>SUM(D109+E109+F109+G109)</f>
        <v>785193</v>
      </c>
      <c r="D109" s="107">
        <f>D110</f>
        <v>756444</v>
      </c>
      <c r="E109" s="107">
        <f>E110</f>
        <v>25506</v>
      </c>
      <c r="F109" s="107">
        <f>F110</f>
        <v>3243</v>
      </c>
      <c r="G109" s="107">
        <f>G110</f>
        <v>0</v>
      </c>
    </row>
    <row r="110" spans="1:7" s="136" customFormat="1" ht="30">
      <c r="A110" s="126" t="s">
        <v>299</v>
      </c>
      <c r="B110" s="127" t="s">
        <v>561</v>
      </c>
      <c r="C110" s="134">
        <f>SUM(D110+E110+F110+G110)</f>
        <v>785193</v>
      </c>
      <c r="D110" s="106">
        <f>756444</f>
        <v>756444</v>
      </c>
      <c r="E110" s="106">
        <f>16800+8706</f>
        <v>25506</v>
      </c>
      <c r="F110" s="106">
        <f>3243</f>
        <v>3243</v>
      </c>
      <c r="G110" s="106">
        <v>0</v>
      </c>
    </row>
    <row r="111" spans="1:7" s="144" customFormat="1" ht="15.75">
      <c r="A111" s="23" t="s">
        <v>300</v>
      </c>
      <c r="B111" s="59" t="s">
        <v>591</v>
      </c>
      <c r="C111" s="107">
        <f aca="true" t="shared" si="8" ref="C111:C116">SUM(D111+E111+F111+G111)</f>
        <v>2393423</v>
      </c>
      <c r="D111" s="107">
        <f>SUM(D112:D113)</f>
        <v>1507496</v>
      </c>
      <c r="E111" s="107">
        <f>SUM(E112:E113)</f>
        <v>885927</v>
      </c>
      <c r="F111" s="107">
        <f>SUM(F112:F113)</f>
        <v>0</v>
      </c>
      <c r="G111" s="104">
        <f>SUM(G112:G113)</f>
        <v>0</v>
      </c>
    </row>
    <row r="112" spans="1:7" s="144" customFormat="1" ht="15.75">
      <c r="A112" s="126" t="s">
        <v>301</v>
      </c>
      <c r="B112" s="127" t="s">
        <v>562</v>
      </c>
      <c r="C112" s="134">
        <f t="shared" si="8"/>
        <v>1589586</v>
      </c>
      <c r="D112" s="106">
        <f>1271324</f>
        <v>1271324</v>
      </c>
      <c r="E112" s="106">
        <f>200000+118262</f>
        <v>318262</v>
      </c>
      <c r="F112" s="106">
        <v>0</v>
      </c>
      <c r="G112" s="106">
        <v>0</v>
      </c>
    </row>
    <row r="113" spans="1:7" s="144" customFormat="1" ht="15.75">
      <c r="A113" s="22" t="s">
        <v>302</v>
      </c>
      <c r="B113" s="60" t="s">
        <v>563</v>
      </c>
      <c r="C113" s="134">
        <f t="shared" si="8"/>
        <v>803837</v>
      </c>
      <c r="D113" s="106">
        <f>236172</f>
        <v>236172</v>
      </c>
      <c r="E113" s="106">
        <f>567665</f>
        <v>567665</v>
      </c>
      <c r="F113" s="106">
        <v>0</v>
      </c>
      <c r="G113" s="106">
        <v>0</v>
      </c>
    </row>
    <row r="114" spans="1:7" s="144" customFormat="1" ht="15.75">
      <c r="A114" s="23" t="s">
        <v>303</v>
      </c>
      <c r="B114" s="59" t="s">
        <v>304</v>
      </c>
      <c r="C114" s="107">
        <f t="shared" si="8"/>
        <v>129337</v>
      </c>
      <c r="D114" s="107">
        <f>SUM(D115:D117)</f>
        <v>129337</v>
      </c>
      <c r="E114" s="107">
        <f>SUM(E115:E117)</f>
        <v>0</v>
      </c>
      <c r="F114" s="107">
        <f>SUM(F115:F117)</f>
        <v>0</v>
      </c>
      <c r="G114" s="104">
        <f>SUM(G115:G117)</f>
        <v>0</v>
      </c>
    </row>
    <row r="115" spans="1:7" s="144" customFormat="1" ht="15.75">
      <c r="A115" s="22" t="s">
        <v>305</v>
      </c>
      <c r="B115" s="60" t="s">
        <v>306</v>
      </c>
      <c r="C115" s="134">
        <f t="shared" si="8"/>
        <v>104313</v>
      </c>
      <c r="D115" s="106">
        <f>104313</f>
        <v>104313</v>
      </c>
      <c r="E115" s="106">
        <v>0</v>
      </c>
      <c r="F115" s="106">
        <v>0</v>
      </c>
      <c r="G115" s="106">
        <v>0</v>
      </c>
    </row>
    <row r="116" spans="1:7" s="144" customFormat="1" ht="15.75">
      <c r="A116" s="22" t="s">
        <v>307</v>
      </c>
      <c r="B116" s="60" t="s">
        <v>308</v>
      </c>
      <c r="C116" s="134">
        <f t="shared" si="8"/>
        <v>25024</v>
      </c>
      <c r="D116" s="106">
        <v>25024</v>
      </c>
      <c r="E116" s="106">
        <v>0</v>
      </c>
      <c r="F116" s="106">
        <v>0</v>
      </c>
      <c r="G116" s="106">
        <v>0</v>
      </c>
    </row>
    <row r="117" spans="1:7" ht="16.5" customHeight="1" hidden="1">
      <c r="A117" s="139"/>
      <c r="B117" s="140"/>
      <c r="C117" s="141">
        <f>SUM(D117+E117+F117+G117)</f>
        <v>0</v>
      </c>
      <c r="D117" s="142"/>
      <c r="E117" s="142"/>
      <c r="F117" s="142"/>
      <c r="G117" s="142"/>
    </row>
    <row r="118" spans="1:7" s="144" customFormat="1" ht="15.75">
      <c r="A118" s="23" t="s">
        <v>309</v>
      </c>
      <c r="B118" s="59" t="s">
        <v>310</v>
      </c>
      <c r="C118" s="107">
        <f>SUM(D118+E118+F118+G118)</f>
        <v>990195</v>
      </c>
      <c r="D118" s="107">
        <f>SUM(D119:D120)</f>
        <v>975284</v>
      </c>
      <c r="E118" s="107">
        <f>SUM(E119:E120)</f>
        <v>0</v>
      </c>
      <c r="F118" s="107">
        <f>SUM(F119:F120)</f>
        <v>14911</v>
      </c>
      <c r="G118" s="104">
        <f>SUM(G119:G120)</f>
        <v>0</v>
      </c>
    </row>
    <row r="119" spans="1:7" s="136" customFormat="1" ht="16.5" customHeight="1">
      <c r="A119" s="22" t="s">
        <v>311</v>
      </c>
      <c r="B119" s="60" t="s">
        <v>312</v>
      </c>
      <c r="C119" s="134">
        <f>SUM(D119+E119+F119+G119)</f>
        <v>593895</v>
      </c>
      <c r="D119" s="106">
        <f>578984</f>
        <v>578984</v>
      </c>
      <c r="E119" s="106">
        <v>0</v>
      </c>
      <c r="F119" s="106">
        <f>14911</f>
        <v>14911</v>
      </c>
      <c r="G119" s="106">
        <v>0</v>
      </c>
    </row>
    <row r="120" spans="1:7" s="136" customFormat="1" ht="15.75">
      <c r="A120" s="22" t="s">
        <v>313</v>
      </c>
      <c r="B120" s="60" t="s">
        <v>314</v>
      </c>
      <c r="C120" s="134">
        <f>SUM(D120+E120+F120+G120)</f>
        <v>396300</v>
      </c>
      <c r="D120" s="106">
        <f>396300</f>
        <v>396300</v>
      </c>
      <c r="E120" s="106">
        <v>0</v>
      </c>
      <c r="F120" s="106">
        <v>0</v>
      </c>
      <c r="G120" s="106">
        <v>0</v>
      </c>
    </row>
    <row r="121" spans="1:7" s="144" customFormat="1" ht="28.5">
      <c r="A121" s="23" t="s">
        <v>315</v>
      </c>
      <c r="B121" s="59" t="s">
        <v>316</v>
      </c>
      <c r="C121" s="107">
        <f aca="true" t="shared" si="9" ref="C121:C127">SUM(D121+E121+F121+G121)</f>
        <v>254542</v>
      </c>
      <c r="D121" s="107">
        <f>SUM(D122:D125)</f>
        <v>254542</v>
      </c>
      <c r="E121" s="107">
        <f>SUM(E122:E125)</f>
        <v>0</v>
      </c>
      <c r="F121" s="107">
        <f>SUM(F122:F125)</f>
        <v>0</v>
      </c>
      <c r="G121" s="104">
        <f>SUM(G122:G125)</f>
        <v>0</v>
      </c>
    </row>
    <row r="122" spans="1:7" s="144" customFormat="1" ht="15.75">
      <c r="A122" s="22" t="s">
        <v>317</v>
      </c>
      <c r="B122" s="60" t="s">
        <v>318</v>
      </c>
      <c r="C122" s="134">
        <f t="shared" si="9"/>
        <v>103000</v>
      </c>
      <c r="D122" s="106">
        <f>100000+3000</f>
        <v>103000</v>
      </c>
      <c r="E122" s="106">
        <v>0</v>
      </c>
      <c r="F122" s="106">
        <v>0</v>
      </c>
      <c r="G122" s="106">
        <v>0</v>
      </c>
    </row>
    <row r="123" spans="1:7" s="144" customFormat="1" ht="15.75">
      <c r="A123" s="22" t="s">
        <v>319</v>
      </c>
      <c r="B123" s="60" t="s">
        <v>320</v>
      </c>
      <c r="C123" s="134">
        <f t="shared" si="9"/>
        <v>38453</v>
      </c>
      <c r="D123" s="106">
        <v>38453</v>
      </c>
      <c r="E123" s="106">
        <v>0</v>
      </c>
      <c r="F123" s="106">
        <v>0</v>
      </c>
      <c r="G123" s="106">
        <v>0</v>
      </c>
    </row>
    <row r="124" spans="1:7" ht="19.5" customHeight="1" hidden="1">
      <c r="A124" s="139" t="s">
        <v>321</v>
      </c>
      <c r="B124" s="140" t="s">
        <v>440</v>
      </c>
      <c r="C124" s="141">
        <f t="shared" si="9"/>
        <v>0</v>
      </c>
      <c r="D124" s="142"/>
      <c r="E124" s="142"/>
      <c r="F124" s="142"/>
      <c r="G124" s="142"/>
    </row>
    <row r="125" spans="1:7" s="144" customFormat="1" ht="15.75">
      <c r="A125" s="126" t="s">
        <v>322</v>
      </c>
      <c r="B125" s="127" t="s">
        <v>449</v>
      </c>
      <c r="C125" s="134">
        <f t="shared" si="9"/>
        <v>113089</v>
      </c>
      <c r="D125" s="166">
        <f>113089</f>
        <v>113089</v>
      </c>
      <c r="E125" s="106">
        <v>0</v>
      </c>
      <c r="F125" s="106">
        <v>0</v>
      </c>
      <c r="G125" s="106">
        <v>0</v>
      </c>
    </row>
    <row r="126" spans="1:7" s="144" customFormat="1" ht="28.5">
      <c r="A126" s="23" t="s">
        <v>462</v>
      </c>
      <c r="B126" s="59" t="s">
        <v>463</v>
      </c>
      <c r="C126" s="107">
        <f t="shared" si="9"/>
        <v>588870</v>
      </c>
      <c r="D126" s="107">
        <f>D127</f>
        <v>587952</v>
      </c>
      <c r="E126" s="107">
        <f>E127</f>
        <v>918</v>
      </c>
      <c r="F126" s="107">
        <f>F127</f>
        <v>0</v>
      </c>
      <c r="G126" s="107">
        <f>G127</f>
        <v>0</v>
      </c>
    </row>
    <row r="127" spans="1:7" s="144" customFormat="1" ht="15.75">
      <c r="A127" s="22" t="s">
        <v>464</v>
      </c>
      <c r="B127" s="60" t="s">
        <v>564</v>
      </c>
      <c r="C127" s="134">
        <f t="shared" si="9"/>
        <v>588870</v>
      </c>
      <c r="D127" s="106">
        <f>587952</f>
        <v>587952</v>
      </c>
      <c r="E127" s="106">
        <f>500+418</f>
        <v>918</v>
      </c>
      <c r="F127" s="106">
        <v>0</v>
      </c>
      <c r="G127" s="106">
        <v>0</v>
      </c>
    </row>
    <row r="128" spans="1:7" s="143" customFormat="1" ht="15.75">
      <c r="A128" s="57" t="s">
        <v>25</v>
      </c>
      <c r="B128" s="58" t="s">
        <v>163</v>
      </c>
      <c r="C128" s="158">
        <f>SUM(D128+E128+F128+G128)</f>
        <v>51471594</v>
      </c>
      <c r="D128" s="158">
        <f>SUM(D129+D132+D143+D153+D150+D167+D171+D159)</f>
        <v>27087535</v>
      </c>
      <c r="E128" s="158">
        <f>SUM(E129+E132+E143+E153+E150+E167+E171+E159)</f>
        <v>1015277</v>
      </c>
      <c r="F128" s="158">
        <f>SUM(F129+F132+F143+F153+F150+F167+F171+F159)</f>
        <v>23368782</v>
      </c>
      <c r="G128" s="158">
        <f>SUM(G129+G132+G143+G153+G150+G167+G171+G159)</f>
        <v>0</v>
      </c>
    </row>
    <row r="129" spans="1:7" s="144" customFormat="1" ht="15.75">
      <c r="A129" s="62" t="s">
        <v>323</v>
      </c>
      <c r="B129" s="63" t="s">
        <v>324</v>
      </c>
      <c r="C129" s="107">
        <f>SUM(D129+E129+F129+G129)</f>
        <v>14303669</v>
      </c>
      <c r="D129" s="107">
        <f>SUM(D130:D131)</f>
        <v>11920687</v>
      </c>
      <c r="E129" s="107">
        <f>SUM(E130:E131)</f>
        <v>152732</v>
      </c>
      <c r="F129" s="107">
        <f>SUM(F130:F131)</f>
        <v>2230250</v>
      </c>
      <c r="G129" s="107">
        <f>SUM(G130:G131)</f>
        <v>0</v>
      </c>
    </row>
    <row r="130" spans="1:7" s="136" customFormat="1" ht="30">
      <c r="A130" s="126" t="s">
        <v>325</v>
      </c>
      <c r="B130" s="127" t="s">
        <v>647</v>
      </c>
      <c r="C130" s="134">
        <f>SUM(D130+E130+F130+G130)</f>
        <v>14298545</v>
      </c>
      <c r="D130" s="106">
        <f>10969482+115490+832961</f>
        <v>11917933</v>
      </c>
      <c r="E130" s="106">
        <f>137628+15104</f>
        <v>152732</v>
      </c>
      <c r="F130" s="106">
        <f>2130135+86952+10793</f>
        <v>2227880</v>
      </c>
      <c r="G130" s="106">
        <v>0</v>
      </c>
    </row>
    <row r="131" spans="1:7" s="136" customFormat="1" ht="15.75">
      <c r="A131" s="126" t="s">
        <v>640</v>
      </c>
      <c r="B131" s="127" t="s">
        <v>641</v>
      </c>
      <c r="C131" s="134">
        <f>SUM(D131+E131+F131+G131)</f>
        <v>5124</v>
      </c>
      <c r="D131" s="106">
        <v>2754</v>
      </c>
      <c r="E131" s="106">
        <v>0</v>
      </c>
      <c r="F131" s="106">
        <v>2370</v>
      </c>
      <c r="G131" s="106">
        <v>0</v>
      </c>
    </row>
    <row r="132" spans="1:7" s="144" customFormat="1" ht="15.75">
      <c r="A132" s="62" t="s">
        <v>326</v>
      </c>
      <c r="B132" s="63" t="s">
        <v>327</v>
      </c>
      <c r="C132" s="107">
        <f aca="true" t="shared" si="10" ref="C132:C139">SUM(D132+E132+F132+G132)</f>
        <v>26642224</v>
      </c>
      <c r="D132" s="107">
        <f>SUM(D133+D140)</f>
        <v>8162436</v>
      </c>
      <c r="E132" s="107">
        <f>SUM(E133+E140)</f>
        <v>292880</v>
      </c>
      <c r="F132" s="107">
        <f>SUM(F133+F140)</f>
        <v>18186908</v>
      </c>
      <c r="G132" s="107">
        <f>SUM(G133+G140)</f>
        <v>0</v>
      </c>
    </row>
    <row r="133" spans="1:7" s="144" customFormat="1" ht="15.75">
      <c r="A133" s="62" t="s">
        <v>328</v>
      </c>
      <c r="B133" s="63" t="s">
        <v>329</v>
      </c>
      <c r="C133" s="107">
        <f t="shared" si="10"/>
        <v>24414252</v>
      </c>
      <c r="D133" s="107">
        <f>SUM(D134:D139)</f>
        <v>7608722</v>
      </c>
      <c r="E133" s="107">
        <f>SUM(E134:E139)</f>
        <v>237893</v>
      </c>
      <c r="F133" s="107">
        <f>SUM(F134:F139)</f>
        <v>16567637</v>
      </c>
      <c r="G133" s="107">
        <f>SUM(G134:G139)</f>
        <v>0</v>
      </c>
    </row>
    <row r="134" spans="1:7" s="144" customFormat="1" ht="16.5" customHeight="1">
      <c r="A134" s="126" t="s">
        <v>330</v>
      </c>
      <c r="B134" s="127" t="s">
        <v>331</v>
      </c>
      <c r="C134" s="134">
        <f t="shared" si="10"/>
        <v>21194610</v>
      </c>
      <c r="D134" s="106">
        <f>5928703+23318+94146+236780</f>
        <v>6282947</v>
      </c>
      <c r="E134" s="106">
        <f>179161+35115</f>
        <v>214276</v>
      </c>
      <c r="F134" s="106">
        <f>14590711+23130+83546</f>
        <v>14697387</v>
      </c>
      <c r="G134" s="106">
        <v>0</v>
      </c>
    </row>
    <row r="135" spans="1:7" ht="15.75">
      <c r="A135" s="126" t="s">
        <v>332</v>
      </c>
      <c r="B135" s="127" t="s">
        <v>648</v>
      </c>
      <c r="C135" s="134">
        <f t="shared" si="10"/>
        <v>1836343</v>
      </c>
      <c r="D135" s="106">
        <f>181586+4152</f>
        <v>185738</v>
      </c>
      <c r="E135" s="106">
        <f>9718+3309</f>
        <v>13027</v>
      </c>
      <c r="F135" s="106">
        <f>1590602+3084+43892</f>
        <v>1637578</v>
      </c>
      <c r="G135" s="106">
        <v>0</v>
      </c>
    </row>
    <row r="136" spans="1:7" s="144" customFormat="1" ht="15.75">
      <c r="A136" s="126" t="s">
        <v>333</v>
      </c>
      <c r="B136" s="127" t="s">
        <v>334</v>
      </c>
      <c r="C136" s="134">
        <f t="shared" si="10"/>
        <v>270030</v>
      </c>
      <c r="D136" s="106">
        <v>26768</v>
      </c>
      <c r="E136" s="106">
        <v>10590</v>
      </c>
      <c r="F136" s="106">
        <f>113049+119623</f>
        <v>232672</v>
      </c>
      <c r="G136" s="106">
        <v>0</v>
      </c>
    </row>
    <row r="137" spans="1:7" s="136" customFormat="1" ht="30">
      <c r="A137" s="126" t="s">
        <v>642</v>
      </c>
      <c r="B137" s="127" t="s">
        <v>643</v>
      </c>
      <c r="C137" s="134">
        <f t="shared" si="10"/>
        <v>1113269</v>
      </c>
      <c r="D137" s="106">
        <f>111327+1001942</f>
        <v>1113269</v>
      </c>
      <c r="E137" s="106">
        <v>0</v>
      </c>
      <c r="F137" s="106">
        <v>0</v>
      </c>
      <c r="G137" s="106">
        <v>0</v>
      </c>
    </row>
    <row r="138" spans="1:7" s="61" customFormat="1" ht="15.75" hidden="1">
      <c r="A138" s="221"/>
      <c r="B138" s="140"/>
      <c r="C138" s="141">
        <f t="shared" si="10"/>
        <v>0</v>
      </c>
      <c r="D138" s="142"/>
      <c r="E138" s="142"/>
      <c r="F138" s="142"/>
      <c r="G138" s="142"/>
    </row>
    <row r="139" spans="1:7" s="61" customFormat="1" ht="15.75" hidden="1">
      <c r="A139" s="221"/>
      <c r="B139" s="140"/>
      <c r="C139" s="141">
        <f t="shared" si="10"/>
        <v>0</v>
      </c>
      <c r="D139" s="142"/>
      <c r="E139" s="142"/>
      <c r="F139" s="142"/>
      <c r="G139" s="142"/>
    </row>
    <row r="140" spans="1:7" s="144" customFormat="1" ht="15.75">
      <c r="A140" s="62" t="s">
        <v>335</v>
      </c>
      <c r="B140" s="63" t="s">
        <v>336</v>
      </c>
      <c r="C140" s="107">
        <f>SUM(D140:G140)</f>
        <v>2227972</v>
      </c>
      <c r="D140" s="107">
        <f>SUM(D141:D142)</f>
        <v>553714</v>
      </c>
      <c r="E140" s="107">
        <f>SUM(E141:E142)</f>
        <v>54987</v>
      </c>
      <c r="F140" s="107">
        <f>SUM(F141:F142)</f>
        <v>1619271</v>
      </c>
      <c r="G140" s="107">
        <f>SUM(G141:G142)</f>
        <v>0</v>
      </c>
    </row>
    <row r="141" spans="1:7" s="151" customFormat="1" ht="15.75">
      <c r="A141" s="126" t="s">
        <v>337</v>
      </c>
      <c r="B141" s="127" t="s">
        <v>338</v>
      </c>
      <c r="C141" s="134">
        <f aca="true" t="shared" si="11" ref="C141:C150">SUM(D141+E141+F141+G141)</f>
        <v>2064413</v>
      </c>
      <c r="D141" s="106">
        <f>547362</f>
        <v>547362</v>
      </c>
      <c r="E141" s="106">
        <f>36316+16971</f>
        <v>53287</v>
      </c>
      <c r="F141" s="106">
        <f>1460741+3023</f>
        <v>1463764</v>
      </c>
      <c r="G141" s="106">
        <v>0</v>
      </c>
    </row>
    <row r="142" spans="1:7" s="151" customFormat="1" ht="15.75">
      <c r="A142" s="126" t="s">
        <v>339</v>
      </c>
      <c r="B142" s="127" t="s">
        <v>340</v>
      </c>
      <c r="C142" s="134">
        <f t="shared" si="11"/>
        <v>163559</v>
      </c>
      <c r="D142" s="106">
        <f>6352</f>
        <v>6352</v>
      </c>
      <c r="E142" s="106">
        <f>1700</f>
        <v>1700</v>
      </c>
      <c r="F142" s="106">
        <f>20238+135269</f>
        <v>155507</v>
      </c>
      <c r="G142" s="106">
        <v>0</v>
      </c>
    </row>
    <row r="143" spans="1:7" s="144" customFormat="1" ht="15.75">
      <c r="A143" s="62" t="s">
        <v>341</v>
      </c>
      <c r="B143" s="63" t="s">
        <v>342</v>
      </c>
      <c r="C143" s="107">
        <f>SUM(D143+E143+F143+G143)</f>
        <v>6115553</v>
      </c>
      <c r="D143" s="107">
        <f>SUM(D144:D149)</f>
        <v>3807721</v>
      </c>
      <c r="E143" s="107">
        <f>SUM(E144:E149)</f>
        <v>251696</v>
      </c>
      <c r="F143" s="107">
        <f>SUM(F144:F149)</f>
        <v>2056136</v>
      </c>
      <c r="G143" s="107">
        <f>SUM(G144:G149)</f>
        <v>0</v>
      </c>
    </row>
    <row r="144" spans="1:7" s="136" customFormat="1" ht="33.75" customHeight="1">
      <c r="A144" s="126" t="s">
        <v>37</v>
      </c>
      <c r="B144" s="127" t="s">
        <v>343</v>
      </c>
      <c r="C144" s="134">
        <f t="shared" si="11"/>
        <v>1749214</v>
      </c>
      <c r="D144" s="106">
        <f>603084</f>
        <v>603084</v>
      </c>
      <c r="E144" s="106">
        <f>107317+1360</f>
        <v>108677</v>
      </c>
      <c r="F144" s="106">
        <f>1032238+5215</f>
        <v>1037453</v>
      </c>
      <c r="G144" s="106">
        <v>0</v>
      </c>
    </row>
    <row r="145" spans="1:7" s="136" customFormat="1" ht="20.25" customHeight="1">
      <c r="A145" s="126" t="s">
        <v>39</v>
      </c>
      <c r="B145" s="127" t="s">
        <v>344</v>
      </c>
      <c r="C145" s="134">
        <f t="shared" si="11"/>
        <v>373224</v>
      </c>
      <c r="D145" s="106">
        <f>172190</f>
        <v>172190</v>
      </c>
      <c r="E145" s="106">
        <f>23088+2400</f>
        <v>25488</v>
      </c>
      <c r="F145" s="106">
        <f>174467+1079</f>
        <v>175546</v>
      </c>
      <c r="G145" s="106">
        <v>0</v>
      </c>
    </row>
    <row r="146" spans="1:7" s="136" customFormat="1" ht="15.75">
      <c r="A146" s="126" t="s">
        <v>345</v>
      </c>
      <c r="B146" s="127" t="s">
        <v>346</v>
      </c>
      <c r="C146" s="134">
        <f t="shared" si="11"/>
        <v>3592295</v>
      </c>
      <c r="D146" s="106">
        <f>1204315+530863+876092+20357</f>
        <v>2631627</v>
      </c>
      <c r="E146" s="106">
        <f>23000+13000+75000+4079+2452</f>
        <v>117531</v>
      </c>
      <c r="F146" s="106">
        <f>458919+119731+264487</f>
        <v>843137</v>
      </c>
      <c r="G146" s="106">
        <v>0</v>
      </c>
    </row>
    <row r="147" spans="1:7" s="64" customFormat="1" ht="15.75" hidden="1">
      <c r="A147" s="139" t="s">
        <v>347</v>
      </c>
      <c r="B147" s="140" t="s">
        <v>348</v>
      </c>
      <c r="C147" s="141">
        <f t="shared" si="11"/>
        <v>0</v>
      </c>
      <c r="D147" s="142"/>
      <c r="E147" s="142"/>
      <c r="F147" s="142"/>
      <c r="G147" s="142"/>
    </row>
    <row r="148" spans="1:7" s="61" customFormat="1" ht="47.25" customHeight="1">
      <c r="A148" s="126" t="s">
        <v>349</v>
      </c>
      <c r="B148" s="127" t="s">
        <v>458</v>
      </c>
      <c r="C148" s="134">
        <f t="shared" si="11"/>
        <v>37055</v>
      </c>
      <c r="D148" s="106">
        <f>37055</f>
        <v>37055</v>
      </c>
      <c r="E148" s="106">
        <v>0</v>
      </c>
      <c r="F148" s="106">
        <v>0</v>
      </c>
      <c r="G148" s="106">
        <v>0</v>
      </c>
    </row>
    <row r="149" spans="1:7" s="136" customFormat="1" ht="36.75" customHeight="1">
      <c r="A149" s="126" t="s">
        <v>588</v>
      </c>
      <c r="B149" s="127" t="s">
        <v>587</v>
      </c>
      <c r="C149" s="134">
        <f t="shared" si="11"/>
        <v>363765</v>
      </c>
      <c r="D149" s="106">
        <f>327143+36622</f>
        <v>363765</v>
      </c>
      <c r="E149" s="106">
        <v>0</v>
      </c>
      <c r="F149" s="106">
        <v>0</v>
      </c>
      <c r="G149" s="106">
        <v>0</v>
      </c>
    </row>
    <row r="150" spans="1:7" s="61" customFormat="1" ht="42.75" hidden="1">
      <c r="A150" s="154" t="s">
        <v>350</v>
      </c>
      <c r="B150" s="155" t="s">
        <v>351</v>
      </c>
      <c r="C150" s="229">
        <f t="shared" si="11"/>
        <v>0</v>
      </c>
      <c r="D150" s="229">
        <f>SUM(D151:D152)</f>
        <v>0</v>
      </c>
      <c r="E150" s="229">
        <f>SUM(E151:E152)</f>
        <v>0</v>
      </c>
      <c r="F150" s="229">
        <f>SUM(F151:F152)</f>
        <v>0</v>
      </c>
      <c r="G150" s="229">
        <f>SUM(G151:G152)</f>
        <v>0</v>
      </c>
    </row>
    <row r="151" spans="1:7" s="61" customFormat="1" ht="16.5" customHeight="1" hidden="1">
      <c r="A151" s="222" t="s">
        <v>47</v>
      </c>
      <c r="B151" s="223" t="s">
        <v>352</v>
      </c>
      <c r="C151" s="224">
        <f aca="true" t="shared" si="12" ref="C151:C158">SUM(D151+E151+F151+G151)</f>
        <v>0</v>
      </c>
      <c r="D151" s="225"/>
      <c r="E151" s="225"/>
      <c r="F151" s="225"/>
      <c r="G151" s="225"/>
    </row>
    <row r="152" spans="1:7" s="61" customFormat="1" ht="15.75" hidden="1">
      <c r="A152" s="222" t="s">
        <v>353</v>
      </c>
      <c r="B152" s="223" t="s">
        <v>354</v>
      </c>
      <c r="C152" s="224">
        <f t="shared" si="12"/>
        <v>0</v>
      </c>
      <c r="D152" s="225">
        <f>3000-3000</f>
        <v>0</v>
      </c>
      <c r="E152" s="225">
        <v>0</v>
      </c>
      <c r="F152" s="225">
        <v>0</v>
      </c>
      <c r="G152" s="225">
        <v>0</v>
      </c>
    </row>
    <row r="153" spans="1:7" s="136" customFormat="1" ht="15.75">
      <c r="A153" s="62" t="s">
        <v>355</v>
      </c>
      <c r="B153" s="63" t="s">
        <v>356</v>
      </c>
      <c r="C153" s="107">
        <f>SUM(D153+E153+F153+G153)</f>
        <v>1327114</v>
      </c>
      <c r="D153" s="107">
        <f>D154+D155+D156+D157+D158</f>
        <v>1019275</v>
      </c>
      <c r="E153" s="107">
        <f>E154+E155+E156+E157+E158</f>
        <v>219524</v>
      </c>
      <c r="F153" s="107">
        <f>F154+F155+F156+F157+F158</f>
        <v>88315</v>
      </c>
      <c r="G153" s="107">
        <f>G154+G155+G156+G157+G158</f>
        <v>0</v>
      </c>
    </row>
    <row r="154" spans="1:7" s="136" customFormat="1" ht="30">
      <c r="A154" s="126" t="s">
        <v>357</v>
      </c>
      <c r="B154" s="127" t="s">
        <v>565</v>
      </c>
      <c r="C154" s="134">
        <f t="shared" si="12"/>
        <v>1238799</v>
      </c>
      <c r="D154" s="106">
        <f>1019238+37</f>
        <v>1019275</v>
      </c>
      <c r="E154" s="106">
        <f>146086+73438</f>
        <v>219524</v>
      </c>
      <c r="F154" s="106">
        <v>0</v>
      </c>
      <c r="G154" s="106">
        <v>0</v>
      </c>
    </row>
    <row r="155" spans="1:7" s="136" customFormat="1" ht="30">
      <c r="A155" s="126" t="s">
        <v>358</v>
      </c>
      <c r="B155" s="127" t="s">
        <v>566</v>
      </c>
      <c r="C155" s="134">
        <f t="shared" si="12"/>
        <v>88315</v>
      </c>
      <c r="D155" s="106">
        <f>0</f>
        <v>0</v>
      </c>
      <c r="E155" s="106">
        <v>0</v>
      </c>
      <c r="F155" s="106">
        <f>16942+71373</f>
        <v>88315</v>
      </c>
      <c r="G155" s="106">
        <v>0</v>
      </c>
    </row>
    <row r="156" spans="1:7" s="61" customFormat="1" ht="15.75" hidden="1">
      <c r="A156" s="139" t="s">
        <v>359</v>
      </c>
      <c r="B156" s="140" t="s">
        <v>360</v>
      </c>
      <c r="C156" s="141">
        <f t="shared" si="12"/>
        <v>0</v>
      </c>
      <c r="D156" s="142"/>
      <c r="E156" s="142"/>
      <c r="F156" s="142"/>
      <c r="G156" s="142"/>
    </row>
    <row r="157" spans="1:7" s="61" customFormat="1" ht="30" hidden="1">
      <c r="A157" s="139" t="s">
        <v>361</v>
      </c>
      <c r="B157" s="153" t="s">
        <v>362</v>
      </c>
      <c r="C157" s="141">
        <f t="shared" si="12"/>
        <v>0</v>
      </c>
      <c r="D157" s="142"/>
      <c r="E157" s="142"/>
      <c r="F157" s="142"/>
      <c r="G157" s="142"/>
    </row>
    <row r="158" spans="1:7" s="61" customFormat="1" ht="30" hidden="1">
      <c r="A158" s="139" t="s">
        <v>590</v>
      </c>
      <c r="B158" s="153" t="s">
        <v>589</v>
      </c>
      <c r="C158" s="141">
        <f t="shared" si="12"/>
        <v>0</v>
      </c>
      <c r="D158" s="142"/>
      <c r="E158" s="142"/>
      <c r="F158" s="142"/>
      <c r="G158" s="142"/>
    </row>
    <row r="159" spans="1:7" s="136" customFormat="1" ht="15.75">
      <c r="A159" s="62" t="s">
        <v>567</v>
      </c>
      <c r="B159" s="63" t="s">
        <v>568</v>
      </c>
      <c r="C159" s="107">
        <f aca="true" t="shared" si="13" ref="C159:C176">SUM(D159+E159+F159+G159)</f>
        <v>1903499</v>
      </c>
      <c r="D159" s="107">
        <f>D160+D162+D164</f>
        <v>1005003</v>
      </c>
      <c r="E159" s="107">
        <f>E160+E162+E164</f>
        <v>91323</v>
      </c>
      <c r="F159" s="107">
        <f>F160+F162+F164</f>
        <v>807173</v>
      </c>
      <c r="G159" s="107">
        <f>G160+G162+G164</f>
        <v>0</v>
      </c>
    </row>
    <row r="160" spans="1:7" s="136" customFormat="1" ht="15.75">
      <c r="A160" s="62" t="s">
        <v>569</v>
      </c>
      <c r="B160" s="63" t="s">
        <v>570</v>
      </c>
      <c r="C160" s="107">
        <f t="shared" si="13"/>
        <v>1509887</v>
      </c>
      <c r="D160" s="106">
        <f>D161</f>
        <v>737714</v>
      </c>
      <c r="E160" s="106">
        <f>E161</f>
        <v>0</v>
      </c>
      <c r="F160" s="106">
        <f>F161</f>
        <v>772173</v>
      </c>
      <c r="G160" s="106">
        <f>G161</f>
        <v>0</v>
      </c>
    </row>
    <row r="161" spans="1:7" s="136" customFormat="1" ht="15.75">
      <c r="A161" s="126" t="s">
        <v>572</v>
      </c>
      <c r="B161" s="127" t="s">
        <v>575</v>
      </c>
      <c r="C161" s="134">
        <f t="shared" si="13"/>
        <v>1509887</v>
      </c>
      <c r="D161" s="106">
        <f>737714</f>
        <v>737714</v>
      </c>
      <c r="E161" s="106">
        <v>0</v>
      </c>
      <c r="F161" s="106">
        <f>759020+780+12373</f>
        <v>772173</v>
      </c>
      <c r="G161" s="106">
        <v>0</v>
      </c>
    </row>
    <row r="162" spans="1:7" s="136" customFormat="1" ht="15.75">
      <c r="A162" s="62" t="s">
        <v>571</v>
      </c>
      <c r="B162" s="63" t="s">
        <v>574</v>
      </c>
      <c r="C162" s="107">
        <f t="shared" si="13"/>
        <v>142812</v>
      </c>
      <c r="D162" s="107">
        <f>D163</f>
        <v>112668</v>
      </c>
      <c r="E162" s="107">
        <f>E163</f>
        <v>30144</v>
      </c>
      <c r="F162" s="107">
        <f>F163</f>
        <v>0</v>
      </c>
      <c r="G162" s="107">
        <f>G163</f>
        <v>0</v>
      </c>
    </row>
    <row r="163" spans="1:7" s="136" customFormat="1" ht="45">
      <c r="A163" s="126" t="s">
        <v>573</v>
      </c>
      <c r="B163" s="127" t="s">
        <v>576</v>
      </c>
      <c r="C163" s="134">
        <f t="shared" si="13"/>
        <v>142812</v>
      </c>
      <c r="D163" s="106">
        <f>112668</f>
        <v>112668</v>
      </c>
      <c r="E163" s="106">
        <f>30100+44</f>
        <v>30144</v>
      </c>
      <c r="F163" s="106">
        <v>0</v>
      </c>
      <c r="G163" s="106">
        <v>0</v>
      </c>
    </row>
    <row r="164" spans="1:7" s="136" customFormat="1" ht="15.75">
      <c r="A164" s="62" t="s">
        <v>465</v>
      </c>
      <c r="B164" s="63" t="s">
        <v>466</v>
      </c>
      <c r="C164" s="107">
        <f t="shared" si="13"/>
        <v>250800</v>
      </c>
      <c r="D164" s="107">
        <f>D165+D166</f>
        <v>154621</v>
      </c>
      <c r="E164" s="107">
        <f>E165+E166</f>
        <v>61179</v>
      </c>
      <c r="F164" s="107">
        <f>F165+F166</f>
        <v>35000</v>
      </c>
      <c r="G164" s="107">
        <f>G165+G166</f>
        <v>0</v>
      </c>
    </row>
    <row r="165" spans="1:7" s="136" customFormat="1" ht="15.75">
      <c r="A165" s="126" t="s">
        <v>467</v>
      </c>
      <c r="B165" s="127" t="s">
        <v>468</v>
      </c>
      <c r="C165" s="134">
        <f t="shared" si="13"/>
        <v>35000</v>
      </c>
      <c r="D165" s="106">
        <f>0</f>
        <v>0</v>
      </c>
      <c r="E165" s="106">
        <v>0</v>
      </c>
      <c r="F165" s="106">
        <v>35000</v>
      </c>
      <c r="G165" s="106">
        <v>0</v>
      </c>
    </row>
    <row r="166" spans="1:7" s="136" customFormat="1" ht="30">
      <c r="A166" s="126" t="s">
        <v>577</v>
      </c>
      <c r="B166" s="127" t="s">
        <v>578</v>
      </c>
      <c r="C166" s="134">
        <f t="shared" si="13"/>
        <v>215800</v>
      </c>
      <c r="D166" s="106">
        <f>154621</f>
        <v>154621</v>
      </c>
      <c r="E166" s="106">
        <f>61179</f>
        <v>61179</v>
      </c>
      <c r="F166" s="106">
        <v>0</v>
      </c>
      <c r="G166" s="106">
        <v>0</v>
      </c>
    </row>
    <row r="167" spans="1:7" s="136" customFormat="1" ht="15.75">
      <c r="A167" s="62" t="s">
        <v>363</v>
      </c>
      <c r="B167" s="63" t="s">
        <v>364</v>
      </c>
      <c r="C167" s="107">
        <f t="shared" si="13"/>
        <v>1157441</v>
      </c>
      <c r="D167" s="107">
        <f>SUM(D168:D170)</f>
        <v>1150319</v>
      </c>
      <c r="E167" s="107">
        <f>SUM(E168:E170)</f>
        <v>7122</v>
      </c>
      <c r="F167" s="107">
        <f>SUM(F168:F170)</f>
        <v>0</v>
      </c>
      <c r="G167" s="107">
        <f>SUM(G168:G170)</f>
        <v>0</v>
      </c>
    </row>
    <row r="168" spans="1:7" s="144" customFormat="1" ht="17.25" customHeight="1">
      <c r="A168" s="126" t="s">
        <v>365</v>
      </c>
      <c r="B168" s="127" t="s">
        <v>646</v>
      </c>
      <c r="C168" s="134">
        <f t="shared" si="13"/>
        <v>1157441</v>
      </c>
      <c r="D168" s="106">
        <f>1150068+251</f>
        <v>1150319</v>
      </c>
      <c r="E168" s="106">
        <f>135+6987</f>
        <v>7122</v>
      </c>
      <c r="F168" s="106">
        <v>0</v>
      </c>
      <c r="G168" s="106">
        <v>0</v>
      </c>
    </row>
    <row r="169" spans="1:7" ht="15.75" hidden="1">
      <c r="A169" s="139" t="s">
        <v>639</v>
      </c>
      <c r="B169" s="140" t="s">
        <v>639</v>
      </c>
      <c r="C169" s="141">
        <f t="shared" si="13"/>
        <v>0</v>
      </c>
      <c r="D169" s="142"/>
      <c r="E169" s="142"/>
      <c r="F169" s="142"/>
      <c r="G169" s="142"/>
    </row>
    <row r="170" spans="1:7" ht="15.75" hidden="1">
      <c r="A170" s="139" t="s">
        <v>639</v>
      </c>
      <c r="B170" s="140" t="s">
        <v>639</v>
      </c>
      <c r="C170" s="141">
        <f t="shared" si="13"/>
        <v>0</v>
      </c>
      <c r="D170" s="142"/>
      <c r="E170" s="142"/>
      <c r="F170" s="142"/>
      <c r="G170" s="142"/>
    </row>
    <row r="171" spans="1:7" ht="15.75">
      <c r="A171" s="63" t="s">
        <v>366</v>
      </c>
      <c r="B171" s="63" t="s">
        <v>367</v>
      </c>
      <c r="C171" s="107">
        <f t="shared" si="13"/>
        <v>22094</v>
      </c>
      <c r="D171" s="107">
        <f>SUM(D172:D173)</f>
        <v>22094</v>
      </c>
      <c r="E171" s="107">
        <f>SUM(E172:E173)</f>
        <v>0</v>
      </c>
      <c r="F171" s="107">
        <f>SUM(F172:F173)</f>
        <v>0</v>
      </c>
      <c r="G171" s="107">
        <f>SUM(G172:G173)</f>
        <v>0</v>
      </c>
    </row>
    <row r="172" spans="1:7" ht="30">
      <c r="A172" s="126" t="s">
        <v>456</v>
      </c>
      <c r="B172" s="127" t="s">
        <v>457</v>
      </c>
      <c r="C172" s="134">
        <f>SUM(D172+E172+F172+G172)</f>
        <v>22094</v>
      </c>
      <c r="D172" s="106">
        <f>22094</f>
        <v>22094</v>
      </c>
      <c r="E172" s="106">
        <v>0</v>
      </c>
      <c r="F172" s="106">
        <v>0</v>
      </c>
      <c r="G172" s="106">
        <v>0</v>
      </c>
    </row>
    <row r="173" spans="1:7" ht="15.75" hidden="1">
      <c r="A173" s="139"/>
      <c r="B173" s="140"/>
      <c r="C173" s="141">
        <f t="shared" si="13"/>
        <v>0</v>
      </c>
      <c r="D173" s="142"/>
      <c r="E173" s="142"/>
      <c r="F173" s="142"/>
      <c r="G173" s="142"/>
    </row>
    <row r="174" spans="1:7" s="56" customFormat="1" ht="15.75">
      <c r="A174" s="57" t="s">
        <v>51</v>
      </c>
      <c r="B174" s="58" t="s">
        <v>164</v>
      </c>
      <c r="C174" s="158">
        <f t="shared" si="13"/>
        <v>12657595</v>
      </c>
      <c r="D174" s="158">
        <f>SUM(D175+D185+D188+D191+D193+D195+D205)</f>
        <v>9333475</v>
      </c>
      <c r="E174" s="158">
        <f>SUM(E175+E185+E188+E191+E193+E195+E205)</f>
        <v>92429</v>
      </c>
      <c r="F174" s="158">
        <f>SUM(F175+F185+F188+F191+F193+F195+F205)</f>
        <v>3231691</v>
      </c>
      <c r="G174" s="158">
        <f>SUM(G175+G185+G188+G191+G193+G195+G205)</f>
        <v>0</v>
      </c>
    </row>
    <row r="175" spans="1:7" ht="15.75">
      <c r="A175" s="23" t="s">
        <v>368</v>
      </c>
      <c r="B175" s="59" t="s">
        <v>369</v>
      </c>
      <c r="C175" s="104">
        <f t="shared" si="13"/>
        <v>3344165</v>
      </c>
      <c r="D175" s="104">
        <f>SUM(D176:D184)</f>
        <v>1132783</v>
      </c>
      <c r="E175" s="104">
        <f>SUM(E176:E184)</f>
        <v>38589</v>
      </c>
      <c r="F175" s="104">
        <f>SUM(F176:F184)</f>
        <v>2172793</v>
      </c>
      <c r="G175" s="104">
        <f>SUM(G176:G184)</f>
        <v>0</v>
      </c>
    </row>
    <row r="176" spans="1:7" s="61" customFormat="1" ht="30">
      <c r="A176" s="126" t="s">
        <v>370</v>
      </c>
      <c r="B176" s="127" t="s">
        <v>371</v>
      </c>
      <c r="C176" s="134">
        <f t="shared" si="13"/>
        <v>2382983</v>
      </c>
      <c r="D176" s="106">
        <f>326926</f>
        <v>326926</v>
      </c>
      <c r="E176" s="106">
        <f>0</f>
        <v>0</v>
      </c>
      <c r="F176" s="105">
        <f>1944696+90379+20982</f>
        <v>2056057</v>
      </c>
      <c r="G176" s="106">
        <f>0</f>
        <v>0</v>
      </c>
    </row>
    <row r="177" spans="1:7" s="61" customFormat="1" ht="15.75">
      <c r="A177" s="126" t="s">
        <v>372</v>
      </c>
      <c r="B177" s="127" t="s">
        <v>373</v>
      </c>
      <c r="C177" s="134">
        <f aca="true" t="shared" si="14" ref="C177:C184">SUM(D177+E177+F177+G177)</f>
        <v>151249</v>
      </c>
      <c r="D177" s="105">
        <f>136082+316</f>
        <v>136398</v>
      </c>
      <c r="E177" s="105">
        <f>10800+4051</f>
        <v>14851</v>
      </c>
      <c r="F177" s="106">
        <v>0</v>
      </c>
      <c r="G177" s="106">
        <v>0</v>
      </c>
    </row>
    <row r="178" spans="1:7" s="61" customFormat="1" ht="15.75">
      <c r="A178" s="126" t="s">
        <v>374</v>
      </c>
      <c r="B178" s="127" t="s">
        <v>375</v>
      </c>
      <c r="C178" s="134">
        <f t="shared" si="14"/>
        <v>132839</v>
      </c>
      <c r="D178" s="105">
        <f>123902</f>
        <v>123902</v>
      </c>
      <c r="E178" s="105">
        <f>3140+5797</f>
        <v>8937</v>
      </c>
      <c r="F178" s="106">
        <v>0</v>
      </c>
      <c r="G178" s="106">
        <v>0</v>
      </c>
    </row>
    <row r="179" spans="1:7" s="61" customFormat="1" ht="15.75">
      <c r="A179" s="126" t="s">
        <v>376</v>
      </c>
      <c r="B179" s="127" t="s">
        <v>377</v>
      </c>
      <c r="C179" s="134">
        <f t="shared" si="14"/>
        <v>146982</v>
      </c>
      <c r="D179" s="105">
        <f>143149</f>
        <v>143149</v>
      </c>
      <c r="E179" s="105">
        <f>1000+2833</f>
        <v>3833</v>
      </c>
      <c r="F179" s="106">
        <v>0</v>
      </c>
      <c r="G179" s="106">
        <v>0</v>
      </c>
    </row>
    <row r="180" spans="1:7" s="61" customFormat="1" ht="15.75">
      <c r="A180" s="126" t="s">
        <v>378</v>
      </c>
      <c r="B180" s="127" t="s">
        <v>379</v>
      </c>
      <c r="C180" s="134">
        <f t="shared" si="14"/>
        <v>166704</v>
      </c>
      <c r="D180" s="106">
        <f>74175</f>
        <v>74175</v>
      </c>
      <c r="E180" s="105">
        <f>5400+393</f>
        <v>5793</v>
      </c>
      <c r="F180" s="105">
        <f>79385+7351</f>
        <v>86736</v>
      </c>
      <c r="G180" s="106">
        <v>0</v>
      </c>
    </row>
    <row r="181" spans="1:7" s="61" customFormat="1" ht="15.75">
      <c r="A181" s="126" t="s">
        <v>469</v>
      </c>
      <c r="B181" s="127" t="s">
        <v>470</v>
      </c>
      <c r="C181" s="134">
        <f t="shared" si="14"/>
        <v>181354</v>
      </c>
      <c r="D181" s="106">
        <f>176179</f>
        <v>176179</v>
      </c>
      <c r="E181" s="106">
        <f>5175</f>
        <v>5175</v>
      </c>
      <c r="F181" s="105">
        <v>0</v>
      </c>
      <c r="G181" s="106">
        <v>0</v>
      </c>
    </row>
    <row r="182" spans="1:7" s="61" customFormat="1" ht="15.75">
      <c r="A182" s="126" t="s">
        <v>580</v>
      </c>
      <c r="B182" s="127" t="s">
        <v>581</v>
      </c>
      <c r="C182" s="134">
        <f t="shared" si="14"/>
        <v>145754</v>
      </c>
      <c r="D182" s="106">
        <v>145754</v>
      </c>
      <c r="E182" s="106">
        <v>0</v>
      </c>
      <c r="F182" s="105">
        <v>0</v>
      </c>
      <c r="G182" s="106">
        <v>0</v>
      </c>
    </row>
    <row r="183" spans="1:7" s="61" customFormat="1" ht="30">
      <c r="A183" s="126" t="s">
        <v>623</v>
      </c>
      <c r="B183" s="127" t="s">
        <v>624</v>
      </c>
      <c r="C183" s="134">
        <f t="shared" si="14"/>
        <v>36300</v>
      </c>
      <c r="D183" s="106">
        <f>6300</f>
        <v>6300</v>
      </c>
      <c r="E183" s="106">
        <v>0</v>
      </c>
      <c r="F183" s="106">
        <f>30000</f>
        <v>30000</v>
      </c>
      <c r="G183" s="106">
        <v>0</v>
      </c>
    </row>
    <row r="184" spans="1:7" s="61" customFormat="1" ht="15.75" hidden="1">
      <c r="A184" s="139"/>
      <c r="B184" s="153"/>
      <c r="C184" s="141">
        <f t="shared" si="14"/>
        <v>0</v>
      </c>
      <c r="D184" s="142"/>
      <c r="E184" s="142"/>
      <c r="F184" s="142"/>
      <c r="G184" s="142"/>
    </row>
    <row r="185" spans="1:7" ht="15.75">
      <c r="A185" s="62" t="s">
        <v>380</v>
      </c>
      <c r="B185" s="63" t="s">
        <v>381</v>
      </c>
      <c r="C185" s="107">
        <f aca="true" t="shared" si="15" ref="C185:C196">SUM(D185+E185+F185+G185)</f>
        <v>2008350</v>
      </c>
      <c r="D185" s="107">
        <f>SUM(D186+D187)</f>
        <v>2002116</v>
      </c>
      <c r="E185" s="104">
        <f>SUM(E186+E187)</f>
        <v>16</v>
      </c>
      <c r="F185" s="104">
        <f>SUM(F186+F187)</f>
        <v>6218</v>
      </c>
      <c r="G185" s="104">
        <f>SUM(G186+G187)</f>
        <v>0</v>
      </c>
    </row>
    <row r="186" spans="1:7" s="61" customFormat="1" ht="15.75">
      <c r="A186" s="126" t="s">
        <v>382</v>
      </c>
      <c r="B186" s="127" t="s">
        <v>383</v>
      </c>
      <c r="C186" s="134">
        <f t="shared" si="15"/>
        <v>406660</v>
      </c>
      <c r="D186" s="106">
        <f>406644</f>
        <v>406644</v>
      </c>
      <c r="E186" s="106">
        <v>16</v>
      </c>
      <c r="F186" s="106">
        <v>0</v>
      </c>
      <c r="G186" s="106">
        <v>0</v>
      </c>
    </row>
    <row r="187" spans="1:7" s="61" customFormat="1" ht="15.75">
      <c r="A187" s="126" t="s">
        <v>384</v>
      </c>
      <c r="B187" s="127" t="s">
        <v>385</v>
      </c>
      <c r="C187" s="134">
        <f t="shared" si="15"/>
        <v>1601690</v>
      </c>
      <c r="D187" s="106">
        <f>1595472</f>
        <v>1595472</v>
      </c>
      <c r="E187" s="106">
        <v>0</v>
      </c>
      <c r="F187" s="106">
        <f>407+5811</f>
        <v>6218</v>
      </c>
      <c r="G187" s="106">
        <v>0</v>
      </c>
    </row>
    <row r="188" spans="1:7" ht="15.75">
      <c r="A188" s="62" t="s">
        <v>386</v>
      </c>
      <c r="B188" s="63" t="s">
        <v>387</v>
      </c>
      <c r="C188" s="107">
        <f t="shared" si="15"/>
        <v>2354580</v>
      </c>
      <c r="D188" s="107">
        <f>SUM(D189:D190)</f>
        <v>2191144</v>
      </c>
      <c r="E188" s="104">
        <f>SUM(E189:E190)</f>
        <v>27968</v>
      </c>
      <c r="F188" s="104">
        <f>SUM(F189:F190)</f>
        <v>135468</v>
      </c>
      <c r="G188" s="104">
        <f>SUM(G189:G190)</f>
        <v>0</v>
      </c>
    </row>
    <row r="189" spans="1:7" s="61" customFormat="1" ht="30">
      <c r="A189" s="126" t="s">
        <v>388</v>
      </c>
      <c r="B189" s="127" t="s">
        <v>389</v>
      </c>
      <c r="C189" s="134">
        <f t="shared" si="15"/>
        <v>1958931</v>
      </c>
      <c r="D189" s="106">
        <f>1795495</f>
        <v>1795495</v>
      </c>
      <c r="E189" s="106">
        <f>27968</f>
        <v>27968</v>
      </c>
      <c r="F189" s="106">
        <f>60920+73431+1117</f>
        <v>135468</v>
      </c>
      <c r="G189" s="106">
        <v>0</v>
      </c>
    </row>
    <row r="190" spans="1:7" s="136" customFormat="1" ht="29.25" customHeight="1">
      <c r="A190" s="126" t="s">
        <v>390</v>
      </c>
      <c r="B190" s="127" t="s">
        <v>582</v>
      </c>
      <c r="C190" s="134">
        <f t="shared" si="15"/>
        <v>395649</v>
      </c>
      <c r="D190" s="106">
        <f>395562+87</f>
        <v>395649</v>
      </c>
      <c r="E190" s="106">
        <v>0</v>
      </c>
      <c r="F190" s="106">
        <v>0</v>
      </c>
      <c r="G190" s="106">
        <v>0</v>
      </c>
    </row>
    <row r="191" spans="1:7" s="136" customFormat="1" ht="15.75">
      <c r="A191" s="62" t="s">
        <v>391</v>
      </c>
      <c r="B191" s="63" t="s">
        <v>392</v>
      </c>
      <c r="C191" s="107">
        <f t="shared" si="15"/>
        <v>55395</v>
      </c>
      <c r="D191" s="107">
        <f>D192</f>
        <v>23800</v>
      </c>
      <c r="E191" s="107">
        <f>E192</f>
        <v>0</v>
      </c>
      <c r="F191" s="107">
        <f>F192</f>
        <v>31595</v>
      </c>
      <c r="G191" s="107">
        <f>G192</f>
        <v>0</v>
      </c>
    </row>
    <row r="192" spans="1:7" s="136" customFormat="1" ht="15.75">
      <c r="A192" s="126" t="s">
        <v>393</v>
      </c>
      <c r="B192" s="127" t="s">
        <v>392</v>
      </c>
      <c r="C192" s="134">
        <f t="shared" si="15"/>
        <v>55395</v>
      </c>
      <c r="D192" s="106">
        <f>23800</f>
        <v>23800</v>
      </c>
      <c r="E192" s="106">
        <v>0</v>
      </c>
      <c r="F192" s="106">
        <f>31200+395</f>
        <v>31595</v>
      </c>
      <c r="G192" s="106">
        <v>0</v>
      </c>
    </row>
    <row r="193" spans="1:7" ht="15.75">
      <c r="A193" s="62" t="s">
        <v>394</v>
      </c>
      <c r="B193" s="63" t="s">
        <v>395</v>
      </c>
      <c r="C193" s="107">
        <f t="shared" si="15"/>
        <v>1092398</v>
      </c>
      <c r="D193" s="107">
        <f>D194</f>
        <v>613403</v>
      </c>
      <c r="E193" s="107">
        <f>E194</f>
        <v>0</v>
      </c>
      <c r="F193" s="107">
        <f>F194</f>
        <v>478995</v>
      </c>
      <c r="G193" s="107">
        <f>G194</f>
        <v>0</v>
      </c>
    </row>
    <row r="194" spans="1:7" ht="30">
      <c r="A194" s="126" t="s">
        <v>396</v>
      </c>
      <c r="B194" s="127" t="s">
        <v>537</v>
      </c>
      <c r="C194" s="134">
        <f t="shared" si="15"/>
        <v>1092398</v>
      </c>
      <c r="D194" s="106">
        <f>613403</f>
        <v>613403</v>
      </c>
      <c r="E194" s="106">
        <v>0</v>
      </c>
      <c r="F194" s="106">
        <f>254715+224280</f>
        <v>478995</v>
      </c>
      <c r="G194" s="106">
        <v>0</v>
      </c>
    </row>
    <row r="195" spans="1:7" ht="18" customHeight="1">
      <c r="A195" s="62" t="s">
        <v>397</v>
      </c>
      <c r="B195" s="63" t="s">
        <v>398</v>
      </c>
      <c r="C195" s="107">
        <f t="shared" si="15"/>
        <v>1195789</v>
      </c>
      <c r="D195" s="107">
        <f>SUM(D196:D204)</f>
        <v>925999</v>
      </c>
      <c r="E195" s="107">
        <f>SUM(E196:E204)</f>
        <v>25188</v>
      </c>
      <c r="F195" s="107">
        <f>SUM(F196:F204)</f>
        <v>244602</v>
      </c>
      <c r="G195" s="107">
        <f>SUM(G196:G204)</f>
        <v>0</v>
      </c>
    </row>
    <row r="196" spans="1:7" s="61" customFormat="1" ht="15.75">
      <c r="A196" s="126" t="s">
        <v>399</v>
      </c>
      <c r="B196" s="127" t="s">
        <v>400</v>
      </c>
      <c r="C196" s="134">
        <f t="shared" si="15"/>
        <v>18831</v>
      </c>
      <c r="D196" s="106">
        <v>18731</v>
      </c>
      <c r="E196" s="106">
        <f>100</f>
        <v>100</v>
      </c>
      <c r="F196" s="106">
        <v>0</v>
      </c>
      <c r="G196" s="106">
        <v>0</v>
      </c>
    </row>
    <row r="197" spans="1:7" s="61" customFormat="1" ht="31.5" customHeight="1">
      <c r="A197" s="22" t="s">
        <v>401</v>
      </c>
      <c r="B197" s="60" t="s">
        <v>402</v>
      </c>
      <c r="C197" s="134">
        <f aca="true" t="shared" si="16" ref="C197:C204">SUM(D197+E197+F197+G197)</f>
        <v>415754</v>
      </c>
      <c r="D197" s="105">
        <f>171152</f>
        <v>171152</v>
      </c>
      <c r="E197" s="106">
        <v>0</v>
      </c>
      <c r="F197" s="106">
        <f>49439+195163</f>
        <v>244602</v>
      </c>
      <c r="G197" s="106">
        <v>0</v>
      </c>
    </row>
    <row r="198" spans="1:7" s="61" customFormat="1" ht="15.75">
      <c r="A198" s="22" t="s">
        <v>403</v>
      </c>
      <c r="B198" s="127" t="s">
        <v>404</v>
      </c>
      <c r="C198" s="134">
        <f t="shared" si="16"/>
        <v>113482</v>
      </c>
      <c r="D198" s="105">
        <f>110099</f>
        <v>110099</v>
      </c>
      <c r="E198" s="105">
        <f>3285+98</f>
        <v>3383</v>
      </c>
      <c r="F198" s="106">
        <v>0</v>
      </c>
      <c r="G198" s="106">
        <v>0</v>
      </c>
    </row>
    <row r="199" spans="1:7" s="61" customFormat="1" ht="15.75">
      <c r="A199" s="22" t="s">
        <v>405</v>
      </c>
      <c r="B199" s="60" t="s">
        <v>406</v>
      </c>
      <c r="C199" s="134">
        <f t="shared" si="16"/>
        <v>19479</v>
      </c>
      <c r="D199" s="105">
        <f>13561</f>
        <v>13561</v>
      </c>
      <c r="E199" s="105">
        <f>4000+1918</f>
        <v>5918</v>
      </c>
      <c r="F199" s="106">
        <v>0</v>
      </c>
      <c r="G199" s="106">
        <v>0</v>
      </c>
    </row>
    <row r="200" spans="1:7" s="61" customFormat="1" ht="15.75">
      <c r="A200" s="126" t="s">
        <v>407</v>
      </c>
      <c r="B200" s="127" t="s">
        <v>408</v>
      </c>
      <c r="C200" s="134">
        <f t="shared" si="16"/>
        <v>287804</v>
      </c>
      <c r="D200" s="106">
        <f>271602+500</f>
        <v>272102</v>
      </c>
      <c r="E200" s="106">
        <f>10050+5652</f>
        <v>15702</v>
      </c>
      <c r="F200" s="106">
        <v>0</v>
      </c>
      <c r="G200" s="106">
        <v>0</v>
      </c>
    </row>
    <row r="201" spans="1:7" s="61" customFormat="1" ht="15.75">
      <c r="A201" s="22" t="s">
        <v>450</v>
      </c>
      <c r="B201" s="127" t="s">
        <v>451</v>
      </c>
      <c r="C201" s="134">
        <f t="shared" si="16"/>
        <v>128614</v>
      </c>
      <c r="D201" s="105">
        <v>128529</v>
      </c>
      <c r="E201" s="106">
        <v>85</v>
      </c>
      <c r="F201" s="106">
        <v>0</v>
      </c>
      <c r="G201" s="106">
        <v>0</v>
      </c>
    </row>
    <row r="202" spans="1:7" s="61" customFormat="1" ht="15.75">
      <c r="A202" s="22" t="s">
        <v>644</v>
      </c>
      <c r="B202" s="127" t="s">
        <v>645</v>
      </c>
      <c r="C202" s="134">
        <f t="shared" si="16"/>
        <v>211825</v>
      </c>
      <c r="D202" s="106">
        <f>211825</f>
        <v>211825</v>
      </c>
      <c r="E202" s="106">
        <v>0</v>
      </c>
      <c r="F202" s="106">
        <v>0</v>
      </c>
      <c r="G202" s="106">
        <v>0</v>
      </c>
    </row>
    <row r="203" spans="1:7" s="61" customFormat="1" ht="15.75" hidden="1">
      <c r="A203" s="222"/>
      <c r="B203" s="223"/>
      <c r="C203" s="224">
        <f t="shared" si="16"/>
        <v>0</v>
      </c>
      <c r="D203" s="225"/>
      <c r="E203" s="225"/>
      <c r="F203" s="225"/>
      <c r="G203" s="225"/>
    </row>
    <row r="204" spans="1:7" s="61" customFormat="1" ht="15.75" hidden="1">
      <c r="A204" s="222"/>
      <c r="B204" s="223"/>
      <c r="C204" s="224">
        <f t="shared" si="16"/>
        <v>0</v>
      </c>
      <c r="D204" s="225"/>
      <c r="E204" s="225"/>
      <c r="F204" s="225"/>
      <c r="G204" s="225"/>
    </row>
    <row r="205" spans="1:7" ht="15.75">
      <c r="A205" s="23" t="s">
        <v>409</v>
      </c>
      <c r="B205" s="59" t="s">
        <v>592</v>
      </c>
      <c r="C205" s="104">
        <f aca="true" t="shared" si="17" ref="C205:C218">SUM(D205+E205+F205+G205)</f>
        <v>2606918</v>
      </c>
      <c r="D205" s="104">
        <f>SUM(D206:D209)</f>
        <v>2444230</v>
      </c>
      <c r="E205" s="104">
        <f>SUM(E206:E209)</f>
        <v>668</v>
      </c>
      <c r="F205" s="104">
        <f>SUM(F206:F209)</f>
        <v>162020</v>
      </c>
      <c r="G205" s="104">
        <f>SUM(G206:G209)</f>
        <v>0</v>
      </c>
    </row>
    <row r="206" spans="1:7" ht="31.5" customHeight="1">
      <c r="A206" s="22" t="s">
        <v>410</v>
      </c>
      <c r="B206" s="60" t="s">
        <v>583</v>
      </c>
      <c r="C206" s="152">
        <f t="shared" si="17"/>
        <v>2065988</v>
      </c>
      <c r="D206" s="105">
        <f>1927812+33348</f>
        <v>1961160</v>
      </c>
      <c r="E206" s="106">
        <f>50+618</f>
        <v>668</v>
      </c>
      <c r="F206" s="105">
        <f>97944+6216</f>
        <v>104160</v>
      </c>
      <c r="G206" s="106">
        <v>0</v>
      </c>
    </row>
    <row r="207" spans="1:7" ht="18" customHeight="1">
      <c r="A207" s="22" t="s">
        <v>411</v>
      </c>
      <c r="B207" s="60" t="s">
        <v>412</v>
      </c>
      <c r="C207" s="152">
        <f t="shared" si="17"/>
        <v>60930</v>
      </c>
      <c r="D207" s="105">
        <f>3070</f>
        <v>3070</v>
      </c>
      <c r="E207" s="106">
        <v>0</v>
      </c>
      <c r="F207" s="106">
        <f>57860</f>
        <v>57860</v>
      </c>
      <c r="G207" s="106">
        <v>0</v>
      </c>
    </row>
    <row r="208" spans="1:7" s="144" customFormat="1" ht="30">
      <c r="A208" s="22" t="s">
        <v>413</v>
      </c>
      <c r="B208" s="60" t="s">
        <v>414</v>
      </c>
      <c r="C208" s="152">
        <f t="shared" si="17"/>
        <v>480000</v>
      </c>
      <c r="D208" s="105">
        <v>480000</v>
      </c>
      <c r="E208" s="106">
        <v>0</v>
      </c>
      <c r="F208" s="106">
        <v>0</v>
      </c>
      <c r="G208" s="106">
        <v>0</v>
      </c>
    </row>
    <row r="209" spans="1:7" ht="30" hidden="1">
      <c r="A209" s="139" t="s">
        <v>584</v>
      </c>
      <c r="B209" s="140" t="s">
        <v>585</v>
      </c>
      <c r="C209" s="141">
        <f t="shared" si="17"/>
        <v>0</v>
      </c>
      <c r="D209" s="142"/>
      <c r="E209" s="142"/>
      <c r="F209" s="142"/>
      <c r="G209" s="142"/>
    </row>
    <row r="210" spans="1:8" s="56" customFormat="1" ht="15.75">
      <c r="A210" s="8"/>
      <c r="B210" s="58" t="s">
        <v>165</v>
      </c>
      <c r="C210" s="158">
        <f t="shared" si="17"/>
        <v>5044382</v>
      </c>
      <c r="D210" s="158">
        <f>D211+D212+D218</f>
        <v>3901735</v>
      </c>
      <c r="E210" s="158">
        <f>E211+E212+E218</f>
        <v>0</v>
      </c>
      <c r="F210" s="158">
        <f>F211+F212+F218</f>
        <v>1142647</v>
      </c>
      <c r="G210" s="158">
        <f>G211+G212+G218</f>
        <v>0</v>
      </c>
      <c r="H210" s="65"/>
    </row>
    <row r="211" spans="1:8" ht="15.75">
      <c r="A211" s="167" t="s">
        <v>166</v>
      </c>
      <c r="B211" s="63" t="s">
        <v>167</v>
      </c>
      <c r="C211" s="134">
        <f t="shared" si="17"/>
        <v>4495164</v>
      </c>
      <c r="D211" s="106">
        <f>3352517</f>
        <v>3352517</v>
      </c>
      <c r="E211" s="106">
        <v>0</v>
      </c>
      <c r="F211" s="106">
        <f>802571+340076</f>
        <v>1142647</v>
      </c>
      <c r="G211" s="106">
        <v>0</v>
      </c>
      <c r="H211" s="66"/>
    </row>
    <row r="212" spans="1:8" s="143" customFormat="1" ht="17.25" customHeight="1">
      <c r="A212" s="167" t="s">
        <v>168</v>
      </c>
      <c r="B212" s="63" t="s">
        <v>415</v>
      </c>
      <c r="C212" s="107">
        <f t="shared" si="17"/>
        <v>389575</v>
      </c>
      <c r="D212" s="104">
        <f>D215+D213+D214+D216+D217</f>
        <v>389575</v>
      </c>
      <c r="E212" s="104">
        <f>E215+E213+E214+E216+E217</f>
        <v>0</v>
      </c>
      <c r="F212" s="104">
        <f>F215+F213+F214+F216+F217</f>
        <v>0</v>
      </c>
      <c r="G212" s="104">
        <f>G215+G213+G214+G216+G217</f>
        <v>0</v>
      </c>
      <c r="H212" s="220"/>
    </row>
    <row r="213" spans="1:8" s="70" customFormat="1" ht="15.75" hidden="1">
      <c r="A213" s="200"/>
      <c r="B213" s="93" t="s">
        <v>170</v>
      </c>
      <c r="C213" s="67">
        <f t="shared" si="17"/>
        <v>0</v>
      </c>
      <c r="D213" s="68"/>
      <c r="E213" s="67"/>
      <c r="F213" s="67"/>
      <c r="G213" s="67"/>
      <c r="H213" s="69"/>
    </row>
    <row r="214" spans="1:7" s="70" customFormat="1" ht="15.75" hidden="1">
      <c r="A214" s="200"/>
      <c r="B214" s="93" t="s">
        <v>171</v>
      </c>
      <c r="C214" s="67">
        <f t="shared" si="17"/>
        <v>0</v>
      </c>
      <c r="D214" s="68"/>
      <c r="E214" s="68"/>
      <c r="F214" s="68"/>
      <c r="G214" s="68"/>
    </row>
    <row r="215" spans="1:7" s="144" customFormat="1" ht="15.75">
      <c r="A215" s="167"/>
      <c r="B215" s="127" t="s">
        <v>172</v>
      </c>
      <c r="C215" s="134">
        <f t="shared" si="17"/>
        <v>389575</v>
      </c>
      <c r="D215" s="106">
        <f>389575</f>
        <v>389575</v>
      </c>
      <c r="E215" s="106">
        <v>0</v>
      </c>
      <c r="F215" s="106">
        <v>0</v>
      </c>
      <c r="G215" s="106">
        <v>0</v>
      </c>
    </row>
    <row r="216" spans="1:7" ht="15.75" hidden="1">
      <c r="A216" s="200"/>
      <c r="B216" s="93" t="s">
        <v>173</v>
      </c>
      <c r="C216" s="67">
        <f t="shared" si="17"/>
        <v>0</v>
      </c>
      <c r="D216" s="68"/>
      <c r="E216" s="68"/>
      <c r="F216" s="68"/>
      <c r="G216" s="68"/>
    </row>
    <row r="217" spans="1:7" ht="15.75" hidden="1">
      <c r="A217" s="200"/>
      <c r="B217" s="93" t="s">
        <v>174</v>
      </c>
      <c r="C217" s="67">
        <f t="shared" si="17"/>
        <v>0</v>
      </c>
      <c r="D217" s="68"/>
      <c r="E217" s="68"/>
      <c r="F217" s="68"/>
      <c r="G217" s="68"/>
    </row>
    <row r="218" spans="1:7" ht="15.75">
      <c r="A218" s="167" t="s">
        <v>138</v>
      </c>
      <c r="B218" s="62" t="s">
        <v>175</v>
      </c>
      <c r="C218" s="107">
        <f t="shared" si="17"/>
        <v>159643</v>
      </c>
      <c r="D218" s="110">
        <f>180000-20357</f>
        <v>159643</v>
      </c>
      <c r="E218" s="106">
        <v>0</v>
      </c>
      <c r="F218" s="106">
        <v>0</v>
      </c>
      <c r="G218" s="106">
        <v>0</v>
      </c>
    </row>
    <row r="219" spans="1:7" ht="15.75">
      <c r="A219" s="168"/>
      <c r="B219" s="58" t="s">
        <v>416</v>
      </c>
      <c r="C219" s="158">
        <f>SUM(C210+C9)</f>
        <v>120086655</v>
      </c>
      <c r="D219" s="158">
        <f>SUM(D210+D9)</f>
        <v>84120458</v>
      </c>
      <c r="E219" s="158">
        <f>SUM(E210+E9)</f>
        <v>3339769</v>
      </c>
      <c r="F219" s="158">
        <f>SUM(F210+F9)</f>
        <v>31555857</v>
      </c>
      <c r="G219" s="158">
        <f>SUM(G210+G9)</f>
        <v>1070571</v>
      </c>
    </row>
    <row r="220" spans="1:7" s="73" customFormat="1" ht="15.75">
      <c r="A220" s="2"/>
      <c r="B220" s="53"/>
      <c r="C220" s="201"/>
      <c r="D220" s="71"/>
      <c r="E220" s="71"/>
      <c r="F220" s="2"/>
      <c r="G220" s="2"/>
    </row>
    <row r="222" spans="1:7" s="144" customFormat="1" ht="15.75">
      <c r="A222" s="668" t="s">
        <v>1054</v>
      </c>
      <c r="B222" s="668"/>
      <c r="C222" s="668"/>
      <c r="D222" s="668"/>
      <c r="E222" s="668"/>
      <c r="F222" s="668"/>
      <c r="G222" s="668"/>
    </row>
    <row r="223" spans="3:7" ht="15.75">
      <c r="C223" s="201"/>
      <c r="D223" s="201"/>
      <c r="E223" s="201"/>
      <c r="F223" s="201"/>
      <c r="G223" s="201"/>
    </row>
    <row r="224" spans="3:7" ht="15.75">
      <c r="C224" s="201"/>
      <c r="D224" s="74"/>
      <c r="E224" s="2"/>
      <c r="F224" s="2"/>
      <c r="G224" s="2"/>
    </row>
    <row r="225" spans="3:7" ht="15.75">
      <c r="C225" s="201"/>
      <c r="D225" s="74"/>
      <c r="E225" s="72"/>
      <c r="F225" s="2"/>
      <c r="G225" s="2"/>
    </row>
    <row r="226" ht="15.75">
      <c r="C226" s="201"/>
    </row>
    <row r="227" ht="15.75">
      <c r="C227" s="201"/>
    </row>
    <row r="228" ht="15.75">
      <c r="C228" s="201"/>
    </row>
    <row r="229" ht="15.75">
      <c r="C229" s="201"/>
    </row>
    <row r="230" ht="15.75">
      <c r="C230" s="201"/>
    </row>
    <row r="231" ht="15.75">
      <c r="C231" s="201"/>
    </row>
    <row r="232" ht="15.75">
      <c r="C232" s="201"/>
    </row>
    <row r="233" ht="15.75">
      <c r="C233" s="201"/>
    </row>
    <row r="234" ht="15.75">
      <c r="C234" s="201"/>
    </row>
    <row r="235" ht="15.75">
      <c r="C235" s="201"/>
    </row>
    <row r="236" ht="15.75">
      <c r="C236" s="201"/>
    </row>
    <row r="237" ht="15.75">
      <c r="C237" s="201"/>
    </row>
    <row r="238" ht="15.75">
      <c r="C238" s="201"/>
    </row>
    <row r="239" ht="15.75">
      <c r="C239" s="201"/>
    </row>
    <row r="240" ht="15.75">
      <c r="C240" s="201"/>
    </row>
    <row r="241" ht="15.75">
      <c r="C241" s="201"/>
    </row>
  </sheetData>
  <sheetProtection/>
  <mergeCells count="7">
    <mergeCell ref="A222:G222"/>
    <mergeCell ref="A4:G4"/>
    <mergeCell ref="A5:G5"/>
    <mergeCell ref="A7:A8"/>
    <mergeCell ref="B7:B8"/>
    <mergeCell ref="C7:C8"/>
    <mergeCell ref="D7:G7"/>
  </mergeCells>
  <printOptions horizontalCentered="1"/>
  <pageMargins left="0.7874015748031497" right="0.7874015748031497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Footer>&amp;R&amp;P</oddFooter>
  </headerFooter>
  <rowBreaks count="3" manualBreakCount="3">
    <brk id="54" max="255" man="1"/>
    <brk id="139" max="255" man="1"/>
    <brk id="1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726"/>
  <sheetViews>
    <sheetView showGridLines="0" zoomScaleSheetLayoutView="80" zoomScalePageLayoutView="0" workbookViewId="0" topLeftCell="A1">
      <selection activeCell="A724" sqref="A724:D724"/>
    </sheetView>
  </sheetViews>
  <sheetFormatPr defaultColWidth="9.140625" defaultRowHeight="12.75"/>
  <cols>
    <col min="1" max="1" width="7.421875" style="76" customWidth="1"/>
    <col min="2" max="2" width="35.28125" style="76" customWidth="1"/>
    <col min="3" max="3" width="29.57421875" style="76" customWidth="1"/>
    <col min="4" max="4" width="17.7109375" style="76" customWidth="1"/>
    <col min="5" max="16384" width="9.140625" style="76" customWidth="1"/>
  </cols>
  <sheetData>
    <row r="1" spans="1:4" ht="15.75">
      <c r="A1" s="185"/>
      <c r="C1" s="243"/>
      <c r="D1" s="186" t="s">
        <v>1058</v>
      </c>
    </row>
    <row r="2" spans="3:4" ht="15.75" customHeight="1">
      <c r="C2" s="493" t="s">
        <v>1059</v>
      </c>
      <c r="D2" s="494"/>
    </row>
    <row r="3" spans="3:4" ht="15.75" customHeight="1">
      <c r="C3" s="493" t="s">
        <v>1052</v>
      </c>
      <c r="D3" s="494"/>
    </row>
    <row r="4" spans="3:4" ht="15.75">
      <c r="C4" s="504"/>
      <c r="D4" s="504"/>
    </row>
    <row r="6" spans="1:4" ht="54.75" customHeight="1">
      <c r="A6" s="497" t="s">
        <v>1060</v>
      </c>
      <c r="B6" s="498"/>
      <c r="C6" s="498"/>
      <c r="D6" s="498"/>
    </row>
    <row r="7" spans="1:4" ht="31.5" customHeight="1">
      <c r="A7" s="505" t="s">
        <v>417</v>
      </c>
      <c r="B7" s="506"/>
      <c r="C7" s="507"/>
      <c r="D7" s="242" t="s">
        <v>615</v>
      </c>
    </row>
    <row r="8" spans="1:4" ht="31.5" customHeight="1">
      <c r="A8" s="508" t="s">
        <v>716</v>
      </c>
      <c r="B8" s="509"/>
      <c r="C8" s="509"/>
      <c r="D8" s="509"/>
    </row>
    <row r="9" spans="1:4" s="91" customFormat="1" ht="15" customHeight="1">
      <c r="A9" s="477"/>
      <c r="B9" s="502" t="s">
        <v>471</v>
      </c>
      <c r="C9" s="499"/>
      <c r="D9" s="478">
        <v>12519290</v>
      </c>
    </row>
    <row r="10" spans="1:4" s="91" customFormat="1" ht="15" customHeight="1">
      <c r="A10" s="477"/>
      <c r="B10" s="502" t="s">
        <v>472</v>
      </c>
      <c r="C10" s="499"/>
      <c r="D10" s="478">
        <v>4199653</v>
      </c>
    </row>
    <row r="11" spans="1:4" s="91" customFormat="1" ht="15" customHeight="1">
      <c r="A11" s="477"/>
      <c r="B11" s="502" t="s">
        <v>473</v>
      </c>
      <c r="C11" s="499"/>
      <c r="D11" s="478">
        <v>1672837</v>
      </c>
    </row>
    <row r="12" spans="1:4" s="91" customFormat="1" ht="15" customHeight="1">
      <c r="A12" s="477"/>
      <c r="B12" s="502" t="s">
        <v>474</v>
      </c>
      <c r="C12" s="499"/>
      <c r="D12" s="478">
        <v>49540</v>
      </c>
    </row>
    <row r="13" spans="1:4" s="91" customFormat="1" ht="15" customHeight="1">
      <c r="A13" s="477"/>
      <c r="B13" s="502" t="s">
        <v>475</v>
      </c>
      <c r="C13" s="499"/>
      <c r="D13" s="478">
        <v>6333573</v>
      </c>
    </row>
    <row r="14" spans="1:4" s="91" customFormat="1" ht="15" customHeight="1">
      <c r="A14" s="477"/>
      <c r="B14" s="502" t="s">
        <v>476</v>
      </c>
      <c r="C14" s="499"/>
      <c r="D14" s="478">
        <v>47800</v>
      </c>
    </row>
    <row r="15" spans="1:4" s="91" customFormat="1" ht="30" customHeight="1">
      <c r="A15" s="477"/>
      <c r="B15" s="502" t="s">
        <v>477</v>
      </c>
      <c r="C15" s="499"/>
      <c r="D15" s="478">
        <v>215887</v>
      </c>
    </row>
    <row r="17" spans="1:4" ht="15.75" customHeight="1">
      <c r="A17" s="501" t="s">
        <v>478</v>
      </c>
      <c r="B17" s="496"/>
      <c r="C17" s="496"/>
      <c r="D17" s="496"/>
    </row>
    <row r="18" spans="2:4" s="91" customFormat="1" ht="15" customHeight="1">
      <c r="B18" s="495" t="s">
        <v>471</v>
      </c>
      <c r="C18" s="499"/>
      <c r="D18" s="239">
        <v>5173634</v>
      </c>
    </row>
    <row r="19" spans="2:4" ht="15" customHeight="1">
      <c r="B19" s="500" t="s">
        <v>472</v>
      </c>
      <c r="C19" s="496"/>
      <c r="D19" s="240">
        <v>4123457</v>
      </c>
    </row>
    <row r="20" spans="2:4" ht="15" customHeight="1">
      <c r="B20" s="500" t="s">
        <v>473</v>
      </c>
      <c r="C20" s="496"/>
      <c r="D20" s="240">
        <v>1007726</v>
      </c>
    </row>
    <row r="21" spans="2:4" ht="15" customHeight="1">
      <c r="B21" s="500" t="s">
        <v>475</v>
      </c>
      <c r="C21" s="496"/>
      <c r="D21" s="240">
        <v>38151</v>
      </c>
    </row>
    <row r="22" spans="2:4" ht="15" customHeight="1">
      <c r="B22" s="500" t="s">
        <v>476</v>
      </c>
      <c r="C22" s="496"/>
      <c r="D22" s="240">
        <v>4300</v>
      </c>
    </row>
    <row r="24" spans="1:4" ht="20.25" customHeight="1">
      <c r="A24" s="501" t="s">
        <v>715</v>
      </c>
      <c r="B24" s="496"/>
      <c r="C24" s="496"/>
      <c r="D24" s="496"/>
    </row>
    <row r="25" spans="2:4" s="91" customFormat="1" ht="15" customHeight="1">
      <c r="B25" s="495" t="s">
        <v>471</v>
      </c>
      <c r="C25" s="499"/>
      <c r="D25" s="239">
        <v>8482</v>
      </c>
    </row>
    <row r="26" spans="2:4" ht="15" customHeight="1">
      <c r="B26" s="500" t="s">
        <v>473</v>
      </c>
      <c r="C26" s="496"/>
      <c r="D26" s="240">
        <v>8482</v>
      </c>
    </row>
    <row r="28" spans="1:4" ht="15.75" customHeight="1">
      <c r="A28" s="501" t="s">
        <v>714</v>
      </c>
      <c r="B28" s="496"/>
      <c r="C28" s="496"/>
      <c r="D28" s="496"/>
    </row>
    <row r="29" spans="2:4" s="91" customFormat="1" ht="15" customHeight="1">
      <c r="B29" s="495" t="s">
        <v>471</v>
      </c>
      <c r="C29" s="499"/>
      <c r="D29" s="239">
        <v>600866</v>
      </c>
    </row>
    <row r="30" spans="2:4" ht="15" customHeight="1">
      <c r="B30" s="500" t="s">
        <v>475</v>
      </c>
      <c r="C30" s="496"/>
      <c r="D30" s="240">
        <v>600866</v>
      </c>
    </row>
    <row r="32" spans="1:4" ht="31.5" customHeight="1">
      <c r="A32" s="501" t="s">
        <v>609</v>
      </c>
      <c r="B32" s="496"/>
      <c r="C32" s="496"/>
      <c r="D32" s="496"/>
    </row>
    <row r="33" spans="2:4" s="91" customFormat="1" ht="15" customHeight="1">
      <c r="B33" s="495" t="s">
        <v>471</v>
      </c>
      <c r="C33" s="499"/>
      <c r="D33" s="239">
        <v>282607</v>
      </c>
    </row>
    <row r="34" spans="2:4" ht="15" customHeight="1">
      <c r="B34" s="500" t="s">
        <v>475</v>
      </c>
      <c r="C34" s="496"/>
      <c r="D34" s="240">
        <v>282607</v>
      </c>
    </row>
    <row r="36" spans="1:4" ht="31.5" customHeight="1">
      <c r="A36" s="501" t="s">
        <v>713</v>
      </c>
      <c r="B36" s="496"/>
      <c r="C36" s="496"/>
      <c r="D36" s="496"/>
    </row>
    <row r="37" spans="2:4" s="91" customFormat="1" ht="15" customHeight="1">
      <c r="B37" s="495" t="s">
        <v>471</v>
      </c>
      <c r="C37" s="499"/>
      <c r="D37" s="239">
        <v>215887</v>
      </c>
    </row>
    <row r="38" spans="2:4" ht="30" customHeight="1">
      <c r="B38" s="500" t="s">
        <v>477</v>
      </c>
      <c r="C38" s="496"/>
      <c r="D38" s="240">
        <v>215887</v>
      </c>
    </row>
    <row r="40" spans="1:4" ht="15.75" customHeight="1">
      <c r="A40" s="501" t="s">
        <v>712</v>
      </c>
      <c r="B40" s="496"/>
      <c r="C40" s="496"/>
      <c r="D40" s="496"/>
    </row>
    <row r="41" spans="2:4" s="91" customFormat="1" ht="15" customHeight="1">
      <c r="B41" s="495" t="s">
        <v>471</v>
      </c>
      <c r="C41" s="499"/>
      <c r="D41" s="239">
        <v>3903611</v>
      </c>
    </row>
    <row r="42" spans="2:4" ht="15" customHeight="1">
      <c r="B42" s="500" t="s">
        <v>475</v>
      </c>
      <c r="C42" s="496"/>
      <c r="D42" s="240">
        <v>3903611</v>
      </c>
    </row>
    <row r="44" spans="1:4" ht="15.75" customHeight="1">
      <c r="A44" s="501" t="s">
        <v>480</v>
      </c>
      <c r="B44" s="496"/>
      <c r="C44" s="496"/>
      <c r="D44" s="496"/>
    </row>
    <row r="45" spans="2:4" s="91" customFormat="1" ht="15" customHeight="1">
      <c r="B45" s="495" t="s">
        <v>471</v>
      </c>
      <c r="C45" s="499"/>
      <c r="D45" s="239">
        <v>78715</v>
      </c>
    </row>
    <row r="46" spans="2:4" ht="15" customHeight="1">
      <c r="B46" s="500" t="s">
        <v>473</v>
      </c>
      <c r="C46" s="496"/>
      <c r="D46" s="240">
        <v>44115</v>
      </c>
    </row>
    <row r="47" spans="2:4" ht="15" customHeight="1">
      <c r="B47" s="500" t="s">
        <v>475</v>
      </c>
      <c r="C47" s="496"/>
      <c r="D47" s="240">
        <v>34600</v>
      </c>
    </row>
    <row r="49" spans="1:4" ht="31.5" customHeight="1">
      <c r="A49" s="501" t="s">
        <v>711</v>
      </c>
      <c r="B49" s="496"/>
      <c r="C49" s="496"/>
      <c r="D49" s="496"/>
    </row>
    <row r="50" spans="2:4" s="91" customFormat="1" ht="15" customHeight="1">
      <c r="B50" s="495" t="s">
        <v>471</v>
      </c>
      <c r="C50" s="499"/>
      <c r="D50" s="239">
        <v>68851</v>
      </c>
    </row>
    <row r="51" spans="2:4" ht="15" customHeight="1">
      <c r="B51" s="500" t="s">
        <v>472</v>
      </c>
      <c r="C51" s="496"/>
      <c r="D51" s="240">
        <v>46431</v>
      </c>
    </row>
    <row r="52" spans="2:4" ht="15" customHeight="1">
      <c r="B52" s="500" t="s">
        <v>473</v>
      </c>
      <c r="C52" s="496"/>
      <c r="D52" s="240">
        <v>9880</v>
      </c>
    </row>
    <row r="53" spans="2:4" ht="15" customHeight="1">
      <c r="B53" s="500" t="s">
        <v>474</v>
      </c>
      <c r="C53" s="496"/>
      <c r="D53" s="240">
        <v>12540</v>
      </c>
    </row>
    <row r="55" spans="1:4" ht="31.5" customHeight="1">
      <c r="A55" s="501" t="s">
        <v>710</v>
      </c>
      <c r="B55" s="496"/>
      <c r="C55" s="496"/>
      <c r="D55" s="496"/>
    </row>
    <row r="56" spans="2:4" s="91" customFormat="1" ht="15" customHeight="1">
      <c r="B56" s="495" t="s">
        <v>471</v>
      </c>
      <c r="C56" s="499"/>
      <c r="D56" s="239">
        <v>43400</v>
      </c>
    </row>
    <row r="57" spans="2:4" ht="15" customHeight="1">
      <c r="B57" s="500" t="s">
        <v>475</v>
      </c>
      <c r="C57" s="496"/>
      <c r="D57" s="240">
        <v>43400</v>
      </c>
    </row>
    <row r="59" spans="1:4" ht="15.75" customHeight="1">
      <c r="A59" s="501" t="s">
        <v>481</v>
      </c>
      <c r="B59" s="496"/>
      <c r="C59" s="496"/>
      <c r="D59" s="496"/>
    </row>
    <row r="60" spans="2:4" s="91" customFormat="1" ht="15" customHeight="1">
      <c r="B60" s="495" t="s">
        <v>471</v>
      </c>
      <c r="C60" s="499"/>
      <c r="D60" s="239">
        <v>562383</v>
      </c>
    </row>
    <row r="61" spans="2:4" ht="15" customHeight="1">
      <c r="B61" s="500" t="s">
        <v>473</v>
      </c>
      <c r="C61" s="496"/>
      <c r="D61" s="240">
        <v>23700</v>
      </c>
    </row>
    <row r="62" spans="2:4" ht="15" customHeight="1">
      <c r="B62" s="500" t="s">
        <v>475</v>
      </c>
      <c r="C62" s="496"/>
      <c r="D62" s="240">
        <v>538683</v>
      </c>
    </row>
    <row r="64" spans="1:4" ht="15.75" customHeight="1">
      <c r="A64" s="501" t="s">
        <v>482</v>
      </c>
      <c r="B64" s="496"/>
      <c r="C64" s="496"/>
      <c r="D64" s="496"/>
    </row>
    <row r="65" spans="2:4" s="91" customFormat="1" ht="15" customHeight="1">
      <c r="B65" s="495" t="s">
        <v>471</v>
      </c>
      <c r="C65" s="499"/>
      <c r="D65" s="239">
        <v>415140</v>
      </c>
    </row>
    <row r="66" spans="2:4" ht="15" customHeight="1">
      <c r="B66" s="500" t="s">
        <v>473</v>
      </c>
      <c r="C66" s="496"/>
      <c r="D66" s="240">
        <v>219140</v>
      </c>
    </row>
    <row r="67" spans="2:4" ht="15" customHeight="1">
      <c r="B67" s="500" t="s">
        <v>474</v>
      </c>
      <c r="C67" s="496"/>
      <c r="D67" s="240">
        <v>25000</v>
      </c>
    </row>
    <row r="68" spans="2:4" ht="15" customHeight="1">
      <c r="B68" s="500" t="s">
        <v>475</v>
      </c>
      <c r="C68" s="496"/>
      <c r="D68" s="240">
        <v>171000</v>
      </c>
    </row>
    <row r="70" spans="1:4" ht="31.5" customHeight="1">
      <c r="A70" s="501" t="s">
        <v>483</v>
      </c>
      <c r="B70" s="496"/>
      <c r="C70" s="496"/>
      <c r="D70" s="496"/>
    </row>
    <row r="71" spans="2:4" s="91" customFormat="1" ht="15" customHeight="1">
      <c r="B71" s="495" t="s">
        <v>471</v>
      </c>
      <c r="C71" s="499"/>
      <c r="D71" s="239">
        <v>10200</v>
      </c>
    </row>
    <row r="72" spans="2:4" ht="15" customHeight="1">
      <c r="B72" s="500" t="s">
        <v>472</v>
      </c>
      <c r="C72" s="496"/>
      <c r="D72" s="240">
        <v>2600</v>
      </c>
    </row>
    <row r="73" spans="2:4" ht="15" customHeight="1">
      <c r="B73" s="500" t="s">
        <v>473</v>
      </c>
      <c r="C73" s="496"/>
      <c r="D73" s="240">
        <v>2600</v>
      </c>
    </row>
    <row r="74" spans="2:4" ht="15" customHeight="1">
      <c r="B74" s="500" t="s">
        <v>475</v>
      </c>
      <c r="C74" s="496"/>
      <c r="D74" s="240">
        <v>5000</v>
      </c>
    </row>
    <row r="76" spans="1:4" ht="31.5" customHeight="1">
      <c r="A76" s="501" t="s">
        <v>484</v>
      </c>
      <c r="B76" s="496"/>
      <c r="C76" s="496"/>
      <c r="D76" s="496"/>
    </row>
    <row r="77" spans="2:4" s="91" customFormat="1" ht="15" customHeight="1">
      <c r="B77" s="495" t="s">
        <v>471</v>
      </c>
      <c r="C77" s="499"/>
      <c r="D77" s="239">
        <v>12000</v>
      </c>
    </row>
    <row r="78" spans="2:4" ht="15" customHeight="1">
      <c r="B78" s="500" t="s">
        <v>474</v>
      </c>
      <c r="C78" s="496"/>
      <c r="D78" s="240">
        <v>12000</v>
      </c>
    </row>
    <row r="80" spans="1:4" ht="15.75" customHeight="1">
      <c r="A80" s="501" t="s">
        <v>709</v>
      </c>
      <c r="B80" s="496"/>
      <c r="C80" s="496"/>
      <c r="D80" s="496"/>
    </row>
    <row r="81" spans="2:4" s="91" customFormat="1" ht="15" customHeight="1">
      <c r="B81" s="495" t="s">
        <v>471</v>
      </c>
      <c r="C81" s="499"/>
      <c r="D81" s="239">
        <v>288000</v>
      </c>
    </row>
    <row r="82" spans="2:4" ht="15" customHeight="1">
      <c r="B82" s="500" t="s">
        <v>475</v>
      </c>
      <c r="C82" s="496"/>
      <c r="D82" s="240">
        <v>288000</v>
      </c>
    </row>
    <row r="84" spans="1:4" ht="15.75" customHeight="1">
      <c r="A84" s="501" t="s">
        <v>485</v>
      </c>
      <c r="B84" s="496"/>
      <c r="C84" s="496"/>
      <c r="D84" s="496"/>
    </row>
    <row r="85" spans="2:4" s="91" customFormat="1" ht="15" customHeight="1">
      <c r="B85" s="495" t="s">
        <v>471</v>
      </c>
      <c r="C85" s="499"/>
      <c r="D85" s="239">
        <v>396300</v>
      </c>
    </row>
    <row r="86" spans="2:4" ht="15" customHeight="1">
      <c r="B86" s="500" t="s">
        <v>472</v>
      </c>
      <c r="C86" s="496"/>
      <c r="D86" s="240">
        <v>27165</v>
      </c>
    </row>
    <row r="87" spans="2:4" ht="15" customHeight="1">
      <c r="B87" s="500" t="s">
        <v>473</v>
      </c>
      <c r="C87" s="496"/>
      <c r="D87" s="240">
        <v>333935</v>
      </c>
    </row>
    <row r="88" spans="2:4" ht="15" customHeight="1">
      <c r="B88" s="500" t="s">
        <v>475</v>
      </c>
      <c r="C88" s="496"/>
      <c r="D88" s="240">
        <v>28000</v>
      </c>
    </row>
    <row r="89" spans="2:4" ht="15" customHeight="1">
      <c r="B89" s="500" t="s">
        <v>476</v>
      </c>
      <c r="C89" s="496"/>
      <c r="D89" s="240">
        <v>7200</v>
      </c>
    </row>
    <row r="91" spans="1:4" ht="31.5" customHeight="1">
      <c r="A91" s="501" t="s">
        <v>708</v>
      </c>
      <c r="B91" s="496"/>
      <c r="C91" s="496"/>
      <c r="D91" s="496"/>
    </row>
    <row r="92" spans="2:4" s="91" customFormat="1" ht="15" customHeight="1">
      <c r="B92" s="495" t="s">
        <v>471</v>
      </c>
      <c r="C92" s="499"/>
      <c r="D92" s="239">
        <v>37055</v>
      </c>
    </row>
    <row r="93" spans="2:4" ht="15" customHeight="1">
      <c r="B93" s="500" t="s">
        <v>473</v>
      </c>
      <c r="C93" s="496"/>
      <c r="D93" s="240">
        <v>1165</v>
      </c>
    </row>
    <row r="94" spans="2:4" ht="15" customHeight="1">
      <c r="B94" s="500" t="s">
        <v>475</v>
      </c>
      <c r="C94" s="496"/>
      <c r="D94" s="240">
        <v>35890</v>
      </c>
    </row>
    <row r="96" spans="1:4" ht="31.5" customHeight="1">
      <c r="A96" s="501" t="s">
        <v>707</v>
      </c>
      <c r="B96" s="496"/>
      <c r="C96" s="496"/>
      <c r="D96" s="496"/>
    </row>
    <row r="97" spans="2:4" s="91" customFormat="1" ht="15" customHeight="1">
      <c r="B97" s="495" t="s">
        <v>471</v>
      </c>
      <c r="C97" s="499"/>
      <c r="D97" s="239">
        <v>363765</v>
      </c>
    </row>
    <row r="98" spans="2:4" ht="15" customHeight="1">
      <c r="B98" s="500" t="s">
        <v>475</v>
      </c>
      <c r="C98" s="496"/>
      <c r="D98" s="240">
        <v>363765</v>
      </c>
    </row>
    <row r="100" spans="1:4" ht="15.75" customHeight="1">
      <c r="A100" s="501" t="s">
        <v>706</v>
      </c>
      <c r="B100" s="496"/>
      <c r="C100" s="496"/>
      <c r="D100" s="496"/>
    </row>
    <row r="101" spans="2:4" s="91" customFormat="1" ht="15" customHeight="1">
      <c r="B101" s="495" t="s">
        <v>471</v>
      </c>
      <c r="C101" s="499"/>
      <c r="D101" s="239">
        <v>22094</v>
      </c>
    </row>
    <row r="102" spans="2:4" ht="15" customHeight="1">
      <c r="B102" s="500" t="s">
        <v>473</v>
      </c>
      <c r="C102" s="496"/>
      <c r="D102" s="240">
        <v>22094</v>
      </c>
    </row>
    <row r="104" spans="1:4" ht="31.5" customHeight="1">
      <c r="A104" s="501" t="s">
        <v>705</v>
      </c>
      <c r="B104" s="496"/>
      <c r="C104" s="496"/>
      <c r="D104" s="496"/>
    </row>
    <row r="105" spans="2:4" s="91" customFormat="1" ht="15" customHeight="1">
      <c r="B105" s="495" t="s">
        <v>471</v>
      </c>
      <c r="C105" s="499"/>
      <c r="D105" s="239">
        <v>36300</v>
      </c>
    </row>
    <row r="106" spans="2:4" ht="15" customHeight="1">
      <c r="B106" s="500" t="s">
        <v>476</v>
      </c>
      <c r="C106" s="496"/>
      <c r="D106" s="240">
        <v>36300</v>
      </c>
    </row>
    <row r="108" spans="1:4" ht="47.25" customHeight="1">
      <c r="A108" s="503" t="s">
        <v>704</v>
      </c>
      <c r="B108" s="496"/>
      <c r="C108" s="496"/>
      <c r="D108" s="496"/>
    </row>
    <row r="109" spans="1:4" ht="15" customHeight="1">
      <c r="A109" s="241"/>
      <c r="B109" s="502" t="s">
        <v>471</v>
      </c>
      <c r="C109" s="499"/>
      <c r="D109" s="478">
        <v>286957</v>
      </c>
    </row>
    <row r="110" spans="1:4" ht="15" customHeight="1">
      <c r="A110" s="241"/>
      <c r="B110" s="502" t="s">
        <v>472</v>
      </c>
      <c r="C110" s="499"/>
      <c r="D110" s="478">
        <v>241667</v>
      </c>
    </row>
    <row r="111" spans="1:4" ht="15" customHeight="1">
      <c r="A111" s="241"/>
      <c r="B111" s="502" t="s">
        <v>473</v>
      </c>
      <c r="C111" s="499"/>
      <c r="D111" s="478">
        <v>43590</v>
      </c>
    </row>
    <row r="112" spans="1:4" ht="30" customHeight="1">
      <c r="A112" s="241"/>
      <c r="B112" s="502" t="s">
        <v>477</v>
      </c>
      <c r="C112" s="499"/>
      <c r="D112" s="478">
        <v>1700</v>
      </c>
    </row>
    <row r="114" spans="1:4" ht="34.5" customHeight="1">
      <c r="A114" s="501" t="s">
        <v>703</v>
      </c>
      <c r="B114" s="496"/>
      <c r="C114" s="496"/>
      <c r="D114" s="496"/>
    </row>
    <row r="115" spans="2:4" s="91" customFormat="1" ht="15" customHeight="1">
      <c r="B115" s="495" t="s">
        <v>471</v>
      </c>
      <c r="C115" s="499"/>
      <c r="D115" s="239">
        <v>286957</v>
      </c>
    </row>
    <row r="116" spans="2:4" ht="15" customHeight="1">
      <c r="B116" s="500" t="s">
        <v>472</v>
      </c>
      <c r="C116" s="496"/>
      <c r="D116" s="240">
        <v>241667</v>
      </c>
    </row>
    <row r="117" spans="2:4" ht="15" customHeight="1">
      <c r="B117" s="500" t="s">
        <v>473</v>
      </c>
      <c r="C117" s="496"/>
      <c r="D117" s="240">
        <v>43590</v>
      </c>
    </row>
    <row r="118" spans="2:4" ht="30" customHeight="1">
      <c r="B118" s="500" t="s">
        <v>477</v>
      </c>
      <c r="C118" s="496"/>
      <c r="D118" s="240">
        <v>1700</v>
      </c>
    </row>
    <row r="120" spans="1:4" ht="31.5" customHeight="1">
      <c r="A120" s="503" t="s">
        <v>702</v>
      </c>
      <c r="B120" s="496"/>
      <c r="C120" s="496"/>
      <c r="D120" s="496"/>
    </row>
    <row r="121" spans="1:4" ht="15" customHeight="1">
      <c r="A121" s="241"/>
      <c r="B121" s="502" t="s">
        <v>471</v>
      </c>
      <c r="C121" s="499"/>
      <c r="D121" s="478">
        <v>9179363</v>
      </c>
    </row>
    <row r="122" spans="1:4" ht="15" customHeight="1">
      <c r="A122" s="241"/>
      <c r="B122" s="502" t="s">
        <v>473</v>
      </c>
      <c r="C122" s="499"/>
      <c r="D122" s="478">
        <v>533783</v>
      </c>
    </row>
    <row r="123" spans="1:4" ht="15" customHeight="1">
      <c r="A123" s="241"/>
      <c r="B123" s="502" t="s">
        <v>474</v>
      </c>
      <c r="C123" s="499"/>
      <c r="D123" s="478">
        <v>3795542</v>
      </c>
    </row>
    <row r="124" spans="1:4" ht="15" customHeight="1">
      <c r="A124" s="241"/>
      <c r="B124" s="502" t="s">
        <v>486</v>
      </c>
      <c r="C124" s="499"/>
      <c r="D124" s="478">
        <v>4840038</v>
      </c>
    </row>
    <row r="125" spans="1:4" ht="30" customHeight="1">
      <c r="A125" s="241"/>
      <c r="B125" s="502" t="s">
        <v>477</v>
      </c>
      <c r="C125" s="499"/>
      <c r="D125" s="478">
        <v>10000</v>
      </c>
    </row>
    <row r="127" spans="1:4" ht="15.75" customHeight="1">
      <c r="A127" s="501" t="s">
        <v>608</v>
      </c>
      <c r="B127" s="496"/>
      <c r="C127" s="496"/>
      <c r="D127" s="496"/>
    </row>
    <row r="128" spans="2:4" s="91" customFormat="1" ht="15" customHeight="1">
      <c r="B128" s="495" t="s">
        <v>471</v>
      </c>
      <c r="C128" s="499"/>
      <c r="D128" s="239">
        <v>100694</v>
      </c>
    </row>
    <row r="129" spans="2:4" ht="15" customHeight="1">
      <c r="B129" s="500" t="s">
        <v>473</v>
      </c>
      <c r="C129" s="496"/>
      <c r="D129" s="240">
        <v>100694</v>
      </c>
    </row>
    <row r="131" spans="1:4" ht="15.75" customHeight="1">
      <c r="A131" s="501" t="s">
        <v>487</v>
      </c>
      <c r="B131" s="496"/>
      <c r="C131" s="496"/>
      <c r="D131" s="496"/>
    </row>
    <row r="132" spans="2:4" s="91" customFormat="1" ht="15" customHeight="1">
      <c r="B132" s="495" t="s">
        <v>471</v>
      </c>
      <c r="C132" s="499"/>
      <c r="D132" s="239">
        <v>5010038</v>
      </c>
    </row>
    <row r="133" spans="2:4" ht="15" customHeight="1">
      <c r="B133" s="500" t="s">
        <v>473</v>
      </c>
      <c r="C133" s="496"/>
      <c r="D133" s="240">
        <v>170000</v>
      </c>
    </row>
    <row r="134" spans="2:4" ht="15" customHeight="1">
      <c r="B134" s="500" t="s">
        <v>486</v>
      </c>
      <c r="C134" s="496"/>
      <c r="D134" s="240">
        <v>4840038</v>
      </c>
    </row>
    <row r="136" spans="1:4" ht="15.75" customHeight="1">
      <c r="A136" s="501" t="s">
        <v>488</v>
      </c>
      <c r="B136" s="496"/>
      <c r="C136" s="496"/>
      <c r="D136" s="496"/>
    </row>
    <row r="137" spans="2:4" s="91" customFormat="1" ht="15" customHeight="1">
      <c r="B137" s="495" t="s">
        <v>471</v>
      </c>
      <c r="C137" s="499"/>
      <c r="D137" s="239">
        <v>150000</v>
      </c>
    </row>
    <row r="138" spans="2:4" ht="15" customHeight="1">
      <c r="B138" s="500" t="s">
        <v>473</v>
      </c>
      <c r="C138" s="496"/>
      <c r="D138" s="240">
        <v>150000</v>
      </c>
    </row>
    <row r="140" spans="1:4" ht="31.5" customHeight="1">
      <c r="A140" s="501" t="s">
        <v>607</v>
      </c>
      <c r="B140" s="496"/>
      <c r="C140" s="496"/>
      <c r="D140" s="496"/>
    </row>
    <row r="141" spans="2:4" s="91" customFormat="1" ht="15" customHeight="1">
      <c r="B141" s="495" t="s">
        <v>471</v>
      </c>
      <c r="C141" s="499"/>
      <c r="D141" s="239">
        <v>2496650</v>
      </c>
    </row>
    <row r="142" spans="2:4" ht="15" customHeight="1">
      <c r="B142" s="500" t="s">
        <v>474</v>
      </c>
      <c r="C142" s="496"/>
      <c r="D142" s="240">
        <v>2496650</v>
      </c>
    </row>
    <row r="144" spans="1:4" ht="15.75" customHeight="1">
      <c r="A144" s="501" t="s">
        <v>489</v>
      </c>
      <c r="B144" s="496"/>
      <c r="C144" s="496"/>
      <c r="D144" s="496"/>
    </row>
    <row r="145" spans="2:4" s="91" customFormat="1" ht="15" customHeight="1">
      <c r="B145" s="495" t="s">
        <v>471</v>
      </c>
      <c r="C145" s="499"/>
      <c r="D145" s="239">
        <v>10000</v>
      </c>
    </row>
    <row r="146" spans="2:4" ht="30" customHeight="1">
      <c r="B146" s="500" t="s">
        <v>477</v>
      </c>
      <c r="C146" s="496"/>
      <c r="D146" s="240">
        <v>10000</v>
      </c>
    </row>
    <row r="148" spans="1:4" ht="31.5" customHeight="1">
      <c r="A148" s="501" t="s">
        <v>701</v>
      </c>
      <c r="B148" s="496"/>
      <c r="C148" s="496"/>
      <c r="D148" s="496"/>
    </row>
    <row r="149" spans="2:4" s="91" customFormat="1" ht="15" customHeight="1">
      <c r="B149" s="495" t="s">
        <v>471</v>
      </c>
      <c r="C149" s="499"/>
      <c r="D149" s="239">
        <v>50000</v>
      </c>
    </row>
    <row r="150" spans="2:4" ht="15" customHeight="1">
      <c r="B150" s="500" t="s">
        <v>474</v>
      </c>
      <c r="C150" s="496"/>
      <c r="D150" s="240">
        <v>50000</v>
      </c>
    </row>
    <row r="152" spans="1:4" ht="15.75" customHeight="1">
      <c r="A152" s="501" t="s">
        <v>700</v>
      </c>
      <c r="B152" s="496"/>
      <c r="C152" s="496"/>
      <c r="D152" s="496"/>
    </row>
    <row r="153" spans="2:4" s="91" customFormat="1" ht="15" customHeight="1">
      <c r="B153" s="495" t="s">
        <v>471</v>
      </c>
      <c r="C153" s="499"/>
      <c r="D153" s="239">
        <v>786739</v>
      </c>
    </row>
    <row r="154" spans="2:4" ht="15" customHeight="1">
      <c r="B154" s="500" t="s">
        <v>474</v>
      </c>
      <c r="C154" s="496"/>
      <c r="D154" s="240">
        <v>786739</v>
      </c>
    </row>
    <row r="156" spans="1:4" ht="19.5" customHeight="1">
      <c r="A156" s="501" t="s">
        <v>490</v>
      </c>
      <c r="B156" s="496"/>
      <c r="C156" s="496"/>
      <c r="D156" s="496"/>
    </row>
    <row r="157" spans="2:4" s="91" customFormat="1" ht="15" customHeight="1">
      <c r="B157" s="495" t="s">
        <v>471</v>
      </c>
      <c r="C157" s="499"/>
      <c r="D157" s="239">
        <v>181063</v>
      </c>
    </row>
    <row r="158" spans="2:4" ht="15" customHeight="1">
      <c r="B158" s="500" t="s">
        <v>474</v>
      </c>
      <c r="C158" s="496"/>
      <c r="D158" s="240">
        <v>181063</v>
      </c>
    </row>
    <row r="160" spans="1:4" ht="31.5" customHeight="1">
      <c r="A160" s="501" t="s">
        <v>699</v>
      </c>
      <c r="B160" s="496"/>
      <c r="C160" s="496"/>
      <c r="D160" s="496"/>
    </row>
    <row r="161" spans="2:4" s="91" customFormat="1" ht="15" customHeight="1">
      <c r="B161" s="495" t="s">
        <v>471</v>
      </c>
      <c r="C161" s="499"/>
      <c r="D161" s="239">
        <v>178090</v>
      </c>
    </row>
    <row r="162" spans="2:4" ht="15" customHeight="1">
      <c r="B162" s="500" t="s">
        <v>474</v>
      </c>
      <c r="C162" s="496"/>
      <c r="D162" s="240">
        <v>178090</v>
      </c>
    </row>
    <row r="164" spans="1:4" ht="15.75" customHeight="1">
      <c r="A164" s="501" t="s">
        <v>491</v>
      </c>
      <c r="B164" s="496"/>
      <c r="C164" s="496"/>
      <c r="D164" s="496"/>
    </row>
    <row r="165" spans="2:4" s="91" customFormat="1" ht="15" customHeight="1">
      <c r="B165" s="495" t="s">
        <v>471</v>
      </c>
      <c r="C165" s="499"/>
      <c r="D165" s="239">
        <v>103000</v>
      </c>
    </row>
    <row r="166" spans="2:4" ht="15" customHeight="1">
      <c r="B166" s="500" t="s">
        <v>474</v>
      </c>
      <c r="C166" s="496"/>
      <c r="D166" s="240">
        <v>103000</v>
      </c>
    </row>
    <row r="168" spans="1:4" ht="15.75" customHeight="1">
      <c r="A168" s="501" t="s">
        <v>492</v>
      </c>
      <c r="B168" s="496"/>
      <c r="C168" s="496"/>
      <c r="D168" s="496"/>
    </row>
    <row r="169" spans="2:4" s="91" customFormat="1" ht="15" customHeight="1">
      <c r="B169" s="495" t="s">
        <v>471</v>
      </c>
      <c r="C169" s="499"/>
      <c r="D169" s="239">
        <v>113089</v>
      </c>
    </row>
    <row r="170" spans="2:4" ht="15" customHeight="1">
      <c r="B170" s="500" t="s">
        <v>473</v>
      </c>
      <c r="C170" s="496"/>
      <c r="D170" s="240">
        <v>113089</v>
      </c>
    </row>
    <row r="172" spans="1:4" ht="15.75" customHeight="1" hidden="1">
      <c r="A172" s="501"/>
      <c r="B172" s="496"/>
      <c r="C172" s="496"/>
      <c r="D172" s="496"/>
    </row>
    <row r="173" spans="2:4" ht="15" customHeight="1" hidden="1">
      <c r="B173" s="500"/>
      <c r="C173" s="496"/>
      <c r="D173" s="240"/>
    </row>
    <row r="174" spans="2:4" ht="15" customHeight="1" hidden="1">
      <c r="B174" s="500"/>
      <c r="C174" s="496"/>
      <c r="D174" s="240"/>
    </row>
    <row r="175" ht="12.75" hidden="1"/>
    <row r="176" spans="1:4" ht="31.5" customHeight="1">
      <c r="A176" s="503" t="s">
        <v>698</v>
      </c>
      <c r="B176" s="496"/>
      <c r="C176" s="496"/>
      <c r="D176" s="496"/>
    </row>
    <row r="177" spans="1:4" ht="15" customHeight="1">
      <c r="A177" s="241"/>
      <c r="B177" s="502" t="s">
        <v>471</v>
      </c>
      <c r="C177" s="499"/>
      <c r="D177" s="478">
        <v>335357</v>
      </c>
    </row>
    <row r="178" spans="1:4" ht="15" customHeight="1">
      <c r="A178" s="241"/>
      <c r="B178" s="502" t="s">
        <v>472</v>
      </c>
      <c r="C178" s="499"/>
      <c r="D178" s="478">
        <v>327493</v>
      </c>
    </row>
    <row r="179" spans="1:4" ht="15" customHeight="1">
      <c r="A179" s="241"/>
      <c r="B179" s="502" t="s">
        <v>473</v>
      </c>
      <c r="C179" s="499"/>
      <c r="D179" s="478">
        <v>7864</v>
      </c>
    </row>
    <row r="181" spans="1:4" ht="15.75" customHeight="1">
      <c r="A181" s="501" t="s">
        <v>697</v>
      </c>
      <c r="B181" s="496"/>
      <c r="C181" s="496"/>
      <c r="D181" s="496"/>
    </row>
    <row r="182" spans="2:4" s="91" customFormat="1" ht="15" customHeight="1">
      <c r="B182" s="495" t="s">
        <v>471</v>
      </c>
      <c r="C182" s="499"/>
      <c r="D182" s="239">
        <v>335357</v>
      </c>
    </row>
    <row r="183" spans="2:4" ht="15" customHeight="1">
      <c r="B183" s="500" t="s">
        <v>472</v>
      </c>
      <c r="C183" s="496"/>
      <c r="D183" s="240">
        <v>327493</v>
      </c>
    </row>
    <row r="184" spans="2:4" ht="15" customHeight="1">
      <c r="B184" s="500" t="s">
        <v>473</v>
      </c>
      <c r="C184" s="496"/>
      <c r="D184" s="240">
        <v>7864</v>
      </c>
    </row>
    <row r="186" spans="1:4" ht="31.5" customHeight="1">
      <c r="A186" s="503" t="s">
        <v>696</v>
      </c>
      <c r="B186" s="496"/>
      <c r="C186" s="496"/>
      <c r="D186" s="496"/>
    </row>
    <row r="187" spans="1:4" ht="15" customHeight="1">
      <c r="A187" s="241"/>
      <c r="B187" s="502" t="s">
        <v>471</v>
      </c>
      <c r="C187" s="499"/>
      <c r="D187" s="478">
        <v>4386616</v>
      </c>
    </row>
    <row r="188" spans="1:4" ht="15" customHeight="1">
      <c r="A188" s="241"/>
      <c r="B188" s="502" t="s">
        <v>472</v>
      </c>
      <c r="C188" s="499"/>
      <c r="D188" s="478">
        <v>4014255</v>
      </c>
    </row>
    <row r="189" spans="1:4" ht="15" customHeight="1">
      <c r="A189" s="241"/>
      <c r="B189" s="502" t="s">
        <v>473</v>
      </c>
      <c r="C189" s="499"/>
      <c r="D189" s="478">
        <v>368723</v>
      </c>
    </row>
    <row r="190" spans="1:4" ht="15" customHeight="1">
      <c r="A190" s="241"/>
      <c r="B190" s="502" t="s">
        <v>475</v>
      </c>
      <c r="C190" s="499"/>
      <c r="D190" s="478">
        <v>2638</v>
      </c>
    </row>
    <row r="191" spans="1:4" ht="15" customHeight="1">
      <c r="A191" s="241"/>
      <c r="B191" s="502" t="s">
        <v>476</v>
      </c>
      <c r="C191" s="499"/>
      <c r="D191" s="478">
        <v>1000</v>
      </c>
    </row>
    <row r="193" spans="1:4" ht="15.75" customHeight="1">
      <c r="A193" s="501" t="s">
        <v>695</v>
      </c>
      <c r="B193" s="496"/>
      <c r="C193" s="496"/>
      <c r="D193" s="496"/>
    </row>
    <row r="194" spans="2:4" s="91" customFormat="1" ht="15" customHeight="1">
      <c r="B194" s="495" t="s">
        <v>471</v>
      </c>
      <c r="C194" s="499"/>
      <c r="D194" s="239">
        <v>4386616</v>
      </c>
    </row>
    <row r="195" spans="2:4" ht="15" customHeight="1">
      <c r="B195" s="500" t="s">
        <v>472</v>
      </c>
      <c r="C195" s="496"/>
      <c r="D195" s="240">
        <v>4014255</v>
      </c>
    </row>
    <row r="196" spans="2:4" ht="15" customHeight="1">
      <c r="B196" s="500" t="s">
        <v>473</v>
      </c>
      <c r="C196" s="496"/>
      <c r="D196" s="240">
        <v>368723</v>
      </c>
    </row>
    <row r="197" spans="2:4" ht="15" customHeight="1">
      <c r="B197" s="500" t="s">
        <v>475</v>
      </c>
      <c r="C197" s="496"/>
      <c r="D197" s="240">
        <v>2638</v>
      </c>
    </row>
    <row r="198" spans="2:4" ht="15" customHeight="1">
      <c r="B198" s="500" t="s">
        <v>476</v>
      </c>
      <c r="C198" s="496"/>
      <c r="D198" s="240">
        <v>1000</v>
      </c>
    </row>
    <row r="200" spans="1:4" ht="31.5" customHeight="1">
      <c r="A200" s="503" t="s">
        <v>694</v>
      </c>
      <c r="B200" s="496"/>
      <c r="C200" s="496"/>
      <c r="D200" s="496"/>
    </row>
    <row r="201" spans="1:4" ht="15" customHeight="1">
      <c r="A201" s="241"/>
      <c r="B201" s="502" t="s">
        <v>471</v>
      </c>
      <c r="C201" s="499"/>
      <c r="D201" s="478">
        <v>2054330</v>
      </c>
    </row>
    <row r="202" spans="1:4" ht="15" customHeight="1">
      <c r="A202" s="241"/>
      <c r="B202" s="502" t="s">
        <v>472</v>
      </c>
      <c r="C202" s="499"/>
      <c r="D202" s="478">
        <v>803090</v>
      </c>
    </row>
    <row r="203" spans="1:4" ht="15" customHeight="1">
      <c r="A203" s="241"/>
      <c r="B203" s="502" t="s">
        <v>473</v>
      </c>
      <c r="C203" s="499"/>
      <c r="D203" s="478">
        <v>1082847</v>
      </c>
    </row>
    <row r="204" spans="1:4" ht="15" customHeight="1">
      <c r="A204" s="241"/>
      <c r="B204" s="502" t="s">
        <v>475</v>
      </c>
      <c r="C204" s="499"/>
      <c r="D204" s="478">
        <v>168393</v>
      </c>
    </row>
    <row r="206" spans="1:4" ht="15.75" customHeight="1">
      <c r="A206" s="501" t="s">
        <v>479</v>
      </c>
      <c r="B206" s="496"/>
      <c r="C206" s="496"/>
      <c r="D206" s="496"/>
    </row>
    <row r="207" spans="2:4" s="91" customFormat="1" ht="15" customHeight="1">
      <c r="B207" s="495" t="s">
        <v>471</v>
      </c>
      <c r="C207" s="499"/>
      <c r="D207" s="239">
        <v>855386</v>
      </c>
    </row>
    <row r="208" spans="2:4" ht="15" customHeight="1">
      <c r="B208" s="500" t="s">
        <v>473</v>
      </c>
      <c r="C208" s="496"/>
      <c r="D208" s="240">
        <v>787086</v>
      </c>
    </row>
    <row r="209" spans="2:4" ht="15" customHeight="1">
      <c r="B209" s="500" t="s">
        <v>475</v>
      </c>
      <c r="C209" s="496"/>
      <c r="D209" s="240">
        <v>68300</v>
      </c>
    </row>
    <row r="211" spans="1:4" ht="15.75" customHeight="1">
      <c r="A211" s="501" t="s">
        <v>693</v>
      </c>
      <c r="B211" s="496"/>
      <c r="C211" s="496"/>
      <c r="D211" s="496"/>
    </row>
    <row r="212" spans="2:4" s="91" customFormat="1" ht="15" customHeight="1">
      <c r="B212" s="495" t="s">
        <v>471</v>
      </c>
      <c r="C212" s="499"/>
      <c r="D212" s="239">
        <v>656659</v>
      </c>
    </row>
    <row r="213" spans="2:4" ht="15" customHeight="1">
      <c r="B213" s="500" t="s">
        <v>472</v>
      </c>
      <c r="C213" s="496"/>
      <c r="D213" s="240">
        <v>557337</v>
      </c>
    </row>
    <row r="214" spans="2:4" ht="15" customHeight="1">
      <c r="B214" s="500" t="s">
        <v>473</v>
      </c>
      <c r="C214" s="496"/>
      <c r="D214" s="240">
        <v>99322</v>
      </c>
    </row>
    <row r="216" spans="1:4" ht="31.5" customHeight="1">
      <c r="A216" s="501" t="s">
        <v>692</v>
      </c>
      <c r="B216" s="496"/>
      <c r="C216" s="496"/>
      <c r="D216" s="496"/>
    </row>
    <row r="217" spans="2:4" s="91" customFormat="1" ht="15" customHeight="1">
      <c r="B217" s="495" t="s">
        <v>471</v>
      </c>
      <c r="C217" s="499"/>
      <c r="D217" s="239">
        <v>149323</v>
      </c>
    </row>
    <row r="218" spans="2:4" ht="15" customHeight="1">
      <c r="B218" s="500" t="s">
        <v>473</v>
      </c>
      <c r="C218" s="496"/>
      <c r="D218" s="240">
        <v>130205</v>
      </c>
    </row>
    <row r="219" spans="2:4" ht="15" customHeight="1">
      <c r="B219" s="500" t="s">
        <v>475</v>
      </c>
      <c r="C219" s="496"/>
      <c r="D219" s="240">
        <v>19118</v>
      </c>
    </row>
    <row r="221" spans="1:4" ht="15.75" customHeight="1">
      <c r="A221" s="501" t="s">
        <v>691</v>
      </c>
      <c r="B221" s="496"/>
      <c r="C221" s="496"/>
      <c r="D221" s="496"/>
    </row>
    <row r="222" spans="2:4" s="91" customFormat="1" ht="15" customHeight="1">
      <c r="B222" s="495" t="s">
        <v>471</v>
      </c>
      <c r="C222" s="499"/>
      <c r="D222" s="239">
        <v>191301</v>
      </c>
    </row>
    <row r="223" spans="2:4" ht="15" customHeight="1">
      <c r="B223" s="500" t="s">
        <v>472</v>
      </c>
      <c r="C223" s="496"/>
      <c r="D223" s="240">
        <v>178101</v>
      </c>
    </row>
    <row r="224" spans="2:4" ht="15" customHeight="1">
      <c r="B224" s="500" t="s">
        <v>473</v>
      </c>
      <c r="C224" s="496"/>
      <c r="D224" s="240">
        <v>13200</v>
      </c>
    </row>
    <row r="226" spans="1:4" ht="15.75" customHeight="1">
      <c r="A226" s="501" t="s">
        <v>690</v>
      </c>
      <c r="B226" s="496"/>
      <c r="C226" s="496"/>
      <c r="D226" s="496"/>
    </row>
    <row r="227" spans="2:4" s="91" customFormat="1" ht="15" customHeight="1">
      <c r="B227" s="495" t="s">
        <v>471</v>
      </c>
      <c r="C227" s="499"/>
      <c r="D227" s="239">
        <v>42264</v>
      </c>
    </row>
    <row r="228" spans="2:4" ht="15" customHeight="1">
      <c r="B228" s="500" t="s">
        <v>472</v>
      </c>
      <c r="C228" s="496"/>
      <c r="D228" s="240">
        <v>12330</v>
      </c>
    </row>
    <row r="229" spans="2:4" ht="15" customHeight="1">
      <c r="B229" s="500" t="s">
        <v>473</v>
      </c>
      <c r="C229" s="496"/>
      <c r="D229" s="240">
        <v>29934</v>
      </c>
    </row>
    <row r="231" spans="1:4" ht="15.75" customHeight="1">
      <c r="A231" s="501" t="s">
        <v>689</v>
      </c>
      <c r="B231" s="496"/>
      <c r="C231" s="496"/>
      <c r="D231" s="496"/>
    </row>
    <row r="232" spans="2:4" s="91" customFormat="1" ht="15" customHeight="1">
      <c r="B232" s="495" t="s">
        <v>471</v>
      </c>
      <c r="C232" s="499"/>
      <c r="D232" s="239">
        <v>159397</v>
      </c>
    </row>
    <row r="233" spans="2:4" ht="15" customHeight="1">
      <c r="B233" s="500" t="s">
        <v>472</v>
      </c>
      <c r="C233" s="496"/>
      <c r="D233" s="240">
        <v>55322</v>
      </c>
    </row>
    <row r="234" spans="2:4" ht="15" customHeight="1">
      <c r="B234" s="500" t="s">
        <v>473</v>
      </c>
      <c r="C234" s="496"/>
      <c r="D234" s="240">
        <v>23100</v>
      </c>
    </row>
    <row r="235" spans="2:4" ht="15" customHeight="1">
      <c r="B235" s="500" t="s">
        <v>475</v>
      </c>
      <c r="C235" s="496"/>
      <c r="D235" s="240">
        <v>80975</v>
      </c>
    </row>
    <row r="237" spans="1:4" ht="31.5" customHeight="1">
      <c r="A237" s="503" t="s">
        <v>688</v>
      </c>
      <c r="B237" s="496"/>
      <c r="C237" s="496"/>
      <c r="D237" s="496"/>
    </row>
    <row r="238" spans="1:4" ht="15" customHeight="1">
      <c r="A238" s="241"/>
      <c r="B238" s="502" t="s">
        <v>471</v>
      </c>
      <c r="C238" s="499"/>
      <c r="D238" s="478">
        <v>734693</v>
      </c>
    </row>
    <row r="239" spans="1:4" ht="15" customHeight="1">
      <c r="A239" s="241"/>
      <c r="B239" s="502" t="s">
        <v>472</v>
      </c>
      <c r="C239" s="499"/>
      <c r="D239" s="478">
        <v>529489</v>
      </c>
    </row>
    <row r="240" spans="1:4" s="91" customFormat="1" ht="14.25" customHeight="1">
      <c r="A240" s="477"/>
      <c r="B240" s="502" t="s">
        <v>473</v>
      </c>
      <c r="C240" s="499"/>
      <c r="D240" s="478">
        <v>205204</v>
      </c>
    </row>
    <row r="242" spans="1:4" ht="15.75" customHeight="1">
      <c r="A242" s="501" t="s">
        <v>687</v>
      </c>
      <c r="B242" s="496"/>
      <c r="C242" s="496"/>
      <c r="D242" s="496"/>
    </row>
    <row r="243" spans="2:4" s="91" customFormat="1" ht="15" customHeight="1">
      <c r="B243" s="495" t="s">
        <v>471</v>
      </c>
      <c r="C243" s="499"/>
      <c r="D243" s="239">
        <v>734693</v>
      </c>
    </row>
    <row r="244" spans="2:4" ht="15" customHeight="1">
      <c r="B244" s="500" t="s">
        <v>472</v>
      </c>
      <c r="C244" s="496"/>
      <c r="D244" s="240">
        <v>529489</v>
      </c>
    </row>
    <row r="245" spans="2:4" ht="15" customHeight="1">
      <c r="B245" s="500" t="s">
        <v>473</v>
      </c>
      <c r="C245" s="496"/>
      <c r="D245" s="240">
        <v>205204</v>
      </c>
    </row>
    <row r="247" spans="1:4" ht="12.75">
      <c r="A247" s="503" t="s">
        <v>686</v>
      </c>
      <c r="B247" s="496"/>
      <c r="C247" s="496"/>
      <c r="D247" s="496"/>
    </row>
    <row r="248" spans="1:4" ht="15" customHeight="1">
      <c r="A248" s="241"/>
      <c r="B248" s="502" t="s">
        <v>471</v>
      </c>
      <c r="C248" s="499"/>
      <c r="D248" s="478">
        <f>14337144+71000-9814-263727</f>
        <v>14134603</v>
      </c>
    </row>
    <row r="249" spans="1:4" ht="15" customHeight="1">
      <c r="A249" s="241"/>
      <c r="B249" s="502" t="s">
        <v>472</v>
      </c>
      <c r="C249" s="499"/>
      <c r="D249" s="478">
        <v>1110402</v>
      </c>
    </row>
    <row r="250" spans="1:4" ht="15" customHeight="1">
      <c r="A250" s="241"/>
      <c r="B250" s="502" t="s">
        <v>473</v>
      </c>
      <c r="C250" s="499"/>
      <c r="D250" s="478">
        <f>6017446+71000</f>
        <v>6088446</v>
      </c>
    </row>
    <row r="251" spans="1:4" ht="15" customHeight="1">
      <c r="A251" s="241"/>
      <c r="B251" s="502" t="s">
        <v>474</v>
      </c>
      <c r="C251" s="499"/>
      <c r="D251" s="478">
        <v>100000</v>
      </c>
    </row>
    <row r="252" spans="1:4" ht="15" customHeight="1">
      <c r="A252" s="241"/>
      <c r="B252" s="502" t="s">
        <v>475</v>
      </c>
      <c r="C252" s="499"/>
      <c r="D252" s="478">
        <f>7074101-263727-9814</f>
        <v>6800560</v>
      </c>
    </row>
    <row r="253" spans="1:4" ht="15" customHeight="1">
      <c r="A253" s="241"/>
      <c r="B253" s="502" t="s">
        <v>476</v>
      </c>
      <c r="C253" s="499"/>
      <c r="D253" s="478">
        <v>35195</v>
      </c>
    </row>
    <row r="255" spans="1:4" ht="15.75" customHeight="1">
      <c r="A255" s="501" t="s">
        <v>606</v>
      </c>
      <c r="B255" s="496"/>
      <c r="C255" s="496"/>
      <c r="D255" s="496"/>
    </row>
    <row r="256" spans="2:4" s="91" customFormat="1" ht="15" customHeight="1">
      <c r="B256" s="495" t="s">
        <v>471</v>
      </c>
      <c r="C256" s="499"/>
      <c r="D256" s="239">
        <v>2104101</v>
      </c>
    </row>
    <row r="257" spans="2:4" ht="15" customHeight="1">
      <c r="B257" s="500" t="s">
        <v>472</v>
      </c>
      <c r="C257" s="496"/>
      <c r="D257" s="240">
        <v>116239</v>
      </c>
    </row>
    <row r="258" spans="2:4" ht="15" customHeight="1">
      <c r="B258" s="500" t="s">
        <v>473</v>
      </c>
      <c r="C258" s="496"/>
      <c r="D258" s="240">
        <v>1739267</v>
      </c>
    </row>
    <row r="259" spans="2:4" ht="15" customHeight="1">
      <c r="B259" s="500" t="s">
        <v>475</v>
      </c>
      <c r="C259" s="496"/>
      <c r="D259" s="240">
        <v>248595</v>
      </c>
    </row>
    <row r="261" spans="1:4" ht="15.75" customHeight="1">
      <c r="A261" s="501" t="s">
        <v>685</v>
      </c>
      <c r="B261" s="496"/>
      <c r="C261" s="496"/>
      <c r="D261" s="496"/>
    </row>
    <row r="262" spans="2:4" s="91" customFormat="1" ht="15" customHeight="1">
      <c r="B262" s="495" t="s">
        <v>471</v>
      </c>
      <c r="C262" s="499"/>
      <c r="D262" s="239">
        <v>789195</v>
      </c>
    </row>
    <row r="263" spans="2:4" ht="15" customHeight="1">
      <c r="B263" s="500" t="s">
        <v>475</v>
      </c>
      <c r="C263" s="496"/>
      <c r="D263" s="240">
        <v>789195</v>
      </c>
    </row>
    <row r="265" spans="1:4" ht="15.75" customHeight="1">
      <c r="A265" s="501" t="s">
        <v>684</v>
      </c>
      <c r="B265" s="496"/>
      <c r="C265" s="496"/>
      <c r="D265" s="496"/>
    </row>
    <row r="266" spans="2:4" s="91" customFormat="1" ht="15" customHeight="1">
      <c r="B266" s="495" t="s">
        <v>471</v>
      </c>
      <c r="C266" s="499"/>
      <c r="D266" s="239">
        <v>4830019</v>
      </c>
    </row>
    <row r="267" spans="2:4" ht="15" customHeight="1">
      <c r="B267" s="500" t="s">
        <v>475</v>
      </c>
      <c r="C267" s="496"/>
      <c r="D267" s="240">
        <v>4830019</v>
      </c>
    </row>
    <row r="269" spans="1:4" ht="31.5" customHeight="1">
      <c r="A269" s="501" t="s">
        <v>683</v>
      </c>
      <c r="B269" s="496"/>
      <c r="C269" s="496"/>
      <c r="D269" s="496"/>
    </row>
    <row r="270" spans="2:4" s="91" customFormat="1" ht="15" customHeight="1">
      <c r="B270" s="495" t="s">
        <v>471</v>
      </c>
      <c r="C270" s="499"/>
      <c r="D270" s="239">
        <v>100188</v>
      </c>
    </row>
    <row r="271" spans="2:4" ht="15" customHeight="1">
      <c r="B271" s="500" t="s">
        <v>475</v>
      </c>
      <c r="C271" s="496"/>
      <c r="D271" s="240">
        <v>100188</v>
      </c>
    </row>
    <row r="273" spans="1:4" ht="15.75" customHeight="1">
      <c r="A273" s="501" t="s">
        <v>682</v>
      </c>
      <c r="B273" s="496"/>
      <c r="C273" s="496"/>
      <c r="D273" s="496"/>
    </row>
    <row r="274" spans="2:4" s="91" customFormat="1" ht="15" customHeight="1">
      <c r="B274" s="495" t="s">
        <v>471</v>
      </c>
      <c r="C274" s="499"/>
      <c r="D274" s="239">
        <v>231931</v>
      </c>
    </row>
    <row r="275" spans="2:4" ht="15" customHeight="1">
      <c r="B275" s="500" t="s">
        <v>475</v>
      </c>
      <c r="C275" s="496"/>
      <c r="D275" s="240">
        <v>231931</v>
      </c>
    </row>
    <row r="277" spans="1:4" ht="15.75" customHeight="1">
      <c r="A277" s="501" t="s">
        <v>493</v>
      </c>
      <c r="B277" s="496"/>
      <c r="C277" s="496"/>
      <c r="D277" s="496"/>
    </row>
    <row r="278" spans="2:4" s="91" customFormat="1" ht="15" customHeight="1">
      <c r="B278" s="495" t="s">
        <v>471</v>
      </c>
      <c r="C278" s="499"/>
      <c r="D278" s="239">
        <v>1471639</v>
      </c>
    </row>
    <row r="279" spans="2:4" ht="15" customHeight="1">
      <c r="B279" s="500" t="s">
        <v>473</v>
      </c>
      <c r="C279" s="496"/>
      <c r="D279" s="240">
        <v>1471639</v>
      </c>
    </row>
    <row r="281" spans="1:4" ht="15.75" customHeight="1">
      <c r="A281" s="501" t="s">
        <v>494</v>
      </c>
      <c r="B281" s="496"/>
      <c r="C281" s="496"/>
      <c r="D281" s="496"/>
    </row>
    <row r="282" spans="2:4" s="91" customFormat="1" ht="15" customHeight="1">
      <c r="B282" s="495" t="s">
        <v>471</v>
      </c>
      <c r="C282" s="499"/>
      <c r="D282" s="239">
        <v>467510</v>
      </c>
    </row>
    <row r="283" spans="2:4" ht="15" customHeight="1">
      <c r="B283" s="500" t="s">
        <v>473</v>
      </c>
      <c r="C283" s="496"/>
      <c r="D283" s="240">
        <v>467510</v>
      </c>
    </row>
    <row r="285" spans="1:4" ht="15.75" customHeight="1">
      <c r="A285" s="501" t="s">
        <v>495</v>
      </c>
      <c r="B285" s="496"/>
      <c r="C285" s="496"/>
      <c r="D285" s="496"/>
    </row>
    <row r="286" spans="2:4" s="91" customFormat="1" ht="15" customHeight="1">
      <c r="B286" s="495" t="s">
        <v>471</v>
      </c>
      <c r="C286" s="499"/>
      <c r="D286" s="239">
        <f>571155+71000</f>
        <v>642155</v>
      </c>
    </row>
    <row r="287" spans="2:4" ht="15" customHeight="1">
      <c r="B287" s="500" t="s">
        <v>473</v>
      </c>
      <c r="C287" s="496"/>
      <c r="D287" s="240">
        <f>570005+71000</f>
        <v>641005</v>
      </c>
    </row>
    <row r="288" spans="2:4" ht="15" customHeight="1">
      <c r="B288" s="500" t="s">
        <v>475</v>
      </c>
      <c r="C288" s="496"/>
      <c r="D288" s="240">
        <v>1150</v>
      </c>
    </row>
    <row r="290" spans="1:4" ht="47.25" customHeight="1">
      <c r="A290" s="501" t="s">
        <v>681</v>
      </c>
      <c r="B290" s="496"/>
      <c r="C290" s="496"/>
      <c r="D290" s="496"/>
    </row>
    <row r="291" spans="2:4" s="91" customFormat="1" ht="15" customHeight="1">
      <c r="B291" s="495" t="s">
        <v>471</v>
      </c>
      <c r="C291" s="499"/>
      <c r="D291" s="239">
        <f>753000-263727-9814</f>
        <v>479459</v>
      </c>
    </row>
    <row r="292" spans="2:4" ht="15" customHeight="1">
      <c r="B292" s="500" t="s">
        <v>475</v>
      </c>
      <c r="C292" s="496"/>
      <c r="D292" s="240">
        <f>753000-263727-9814</f>
        <v>479459</v>
      </c>
    </row>
    <row r="294" spans="1:4" ht="15.75" customHeight="1">
      <c r="A294" s="501" t="s">
        <v>680</v>
      </c>
      <c r="B294" s="496"/>
      <c r="C294" s="496"/>
      <c r="D294" s="496"/>
    </row>
    <row r="295" spans="2:4" s="91" customFormat="1" ht="15" customHeight="1">
      <c r="B295" s="495" t="s">
        <v>471</v>
      </c>
      <c r="C295" s="499"/>
      <c r="D295" s="239">
        <v>1133040</v>
      </c>
    </row>
    <row r="296" spans="2:4" ht="15" customHeight="1">
      <c r="B296" s="500" t="s">
        <v>472</v>
      </c>
      <c r="C296" s="496"/>
      <c r="D296" s="240">
        <v>992963</v>
      </c>
    </row>
    <row r="297" spans="2:4" ht="15" customHeight="1">
      <c r="B297" s="500" t="s">
        <v>473</v>
      </c>
      <c r="C297" s="496"/>
      <c r="D297" s="240">
        <v>114759</v>
      </c>
    </row>
    <row r="298" spans="2:4" ht="15" customHeight="1">
      <c r="B298" s="500" t="s">
        <v>475</v>
      </c>
      <c r="C298" s="496"/>
      <c r="D298" s="240">
        <v>25318</v>
      </c>
    </row>
    <row r="300" spans="1:4" ht="15.75" customHeight="1">
      <c r="A300" s="501" t="s">
        <v>496</v>
      </c>
      <c r="B300" s="496"/>
      <c r="C300" s="496"/>
      <c r="D300" s="496"/>
    </row>
    <row r="301" spans="2:4" s="91" customFormat="1" ht="15" customHeight="1">
      <c r="B301" s="495" t="s">
        <v>471</v>
      </c>
      <c r="C301" s="499"/>
      <c r="D301" s="239">
        <v>1829971</v>
      </c>
    </row>
    <row r="302" spans="2:4" ht="15" customHeight="1">
      <c r="B302" s="500" t="s">
        <v>473</v>
      </c>
      <c r="C302" s="496"/>
      <c r="D302" s="240">
        <v>1630466</v>
      </c>
    </row>
    <row r="303" spans="2:4" ht="15" customHeight="1">
      <c r="B303" s="500" t="s">
        <v>474</v>
      </c>
      <c r="C303" s="496"/>
      <c r="D303" s="240">
        <v>100000</v>
      </c>
    </row>
    <row r="304" spans="2:4" ht="15" customHeight="1">
      <c r="B304" s="500" t="s">
        <v>475</v>
      </c>
      <c r="C304" s="496"/>
      <c r="D304" s="240">
        <v>94705</v>
      </c>
    </row>
    <row r="305" spans="2:4" ht="15" customHeight="1">
      <c r="B305" s="500" t="s">
        <v>476</v>
      </c>
      <c r="C305" s="496"/>
      <c r="D305" s="240">
        <v>4800</v>
      </c>
    </row>
    <row r="307" spans="1:4" ht="15.75" customHeight="1">
      <c r="A307" s="501" t="s">
        <v>497</v>
      </c>
      <c r="B307" s="496"/>
      <c r="C307" s="496"/>
      <c r="D307" s="496"/>
    </row>
    <row r="308" spans="2:4" s="91" customFormat="1" ht="15" customHeight="1">
      <c r="B308" s="495" t="s">
        <v>471</v>
      </c>
      <c r="C308" s="499"/>
      <c r="D308" s="239">
        <v>55395</v>
      </c>
    </row>
    <row r="309" spans="2:4" ht="15" customHeight="1">
      <c r="B309" s="500" t="s">
        <v>472</v>
      </c>
      <c r="C309" s="496"/>
      <c r="D309" s="240">
        <v>1200</v>
      </c>
    </row>
    <row r="310" spans="2:4" ht="15" customHeight="1">
      <c r="B310" s="500" t="s">
        <v>473</v>
      </c>
      <c r="C310" s="496"/>
      <c r="D310" s="240">
        <v>23800</v>
      </c>
    </row>
    <row r="311" spans="2:4" ht="15" customHeight="1">
      <c r="B311" s="500" t="s">
        <v>476</v>
      </c>
      <c r="C311" s="496"/>
      <c r="D311" s="240">
        <v>30395</v>
      </c>
    </row>
    <row r="313" spans="1:4" ht="31.5" customHeight="1">
      <c r="A313" s="503" t="s">
        <v>679</v>
      </c>
      <c r="B313" s="496"/>
      <c r="C313" s="496"/>
      <c r="D313" s="496"/>
    </row>
    <row r="314" spans="1:4" ht="15" customHeight="1">
      <c r="A314" s="241"/>
      <c r="B314" s="502" t="s">
        <v>471</v>
      </c>
      <c r="C314" s="499"/>
      <c r="D314" s="478">
        <f>4810009+20357</f>
        <v>4830366</v>
      </c>
    </row>
    <row r="315" spans="1:4" ht="15" customHeight="1">
      <c r="A315" s="241"/>
      <c r="B315" s="502" t="s">
        <v>472</v>
      </c>
      <c r="C315" s="499"/>
      <c r="D315" s="478">
        <f>2107923+20357</f>
        <v>2128280</v>
      </c>
    </row>
    <row r="316" spans="1:4" ht="15" customHeight="1">
      <c r="A316" s="241"/>
      <c r="B316" s="502" t="s">
        <v>473</v>
      </c>
      <c r="C316" s="499"/>
      <c r="D316" s="478">
        <v>1978521</v>
      </c>
    </row>
    <row r="317" spans="1:4" ht="15" customHeight="1">
      <c r="A317" s="241"/>
      <c r="B317" s="502" t="s">
        <v>474</v>
      </c>
      <c r="C317" s="499"/>
      <c r="D317" s="478">
        <v>466202</v>
      </c>
    </row>
    <row r="318" spans="1:4" ht="15" customHeight="1">
      <c r="A318" s="241"/>
      <c r="B318" s="502" t="s">
        <v>475</v>
      </c>
      <c r="C318" s="499"/>
      <c r="D318" s="478">
        <v>251363</v>
      </c>
    </row>
    <row r="319" spans="1:4" ht="15" customHeight="1">
      <c r="A319" s="241"/>
      <c r="B319" s="502" t="s">
        <v>476</v>
      </c>
      <c r="C319" s="499"/>
      <c r="D319" s="478">
        <v>6000</v>
      </c>
    </row>
    <row r="321" spans="1:4" ht="15.75" customHeight="1">
      <c r="A321" s="501" t="s">
        <v>678</v>
      </c>
      <c r="B321" s="496"/>
      <c r="C321" s="496"/>
      <c r="D321" s="496"/>
    </row>
    <row r="322" spans="2:4" s="91" customFormat="1" ht="15" customHeight="1">
      <c r="B322" s="495" t="s">
        <v>471</v>
      </c>
      <c r="C322" s="499"/>
      <c r="D322" s="239">
        <v>608271</v>
      </c>
    </row>
    <row r="323" spans="2:4" ht="15" customHeight="1">
      <c r="B323" s="500" t="s">
        <v>472</v>
      </c>
      <c r="C323" s="496"/>
      <c r="D323" s="240">
        <v>394571</v>
      </c>
    </row>
    <row r="324" spans="2:4" ht="15" customHeight="1">
      <c r="B324" s="500" t="s">
        <v>473</v>
      </c>
      <c r="C324" s="496"/>
      <c r="D324" s="240">
        <v>208155</v>
      </c>
    </row>
    <row r="325" spans="2:4" ht="15" customHeight="1">
      <c r="B325" s="500" t="s">
        <v>475</v>
      </c>
      <c r="C325" s="496"/>
      <c r="D325" s="240">
        <v>5545</v>
      </c>
    </row>
    <row r="327" spans="1:4" ht="15.75" customHeight="1">
      <c r="A327" s="501" t="s">
        <v>498</v>
      </c>
      <c r="B327" s="496"/>
      <c r="C327" s="496"/>
      <c r="D327" s="496"/>
    </row>
    <row r="328" spans="2:4" s="91" customFormat="1" ht="15" customHeight="1">
      <c r="B328" s="495" t="s">
        <v>471</v>
      </c>
      <c r="C328" s="499"/>
      <c r="D328" s="239">
        <v>629800</v>
      </c>
    </row>
    <row r="329" spans="2:4" ht="15" customHeight="1">
      <c r="B329" s="500" t="s">
        <v>473</v>
      </c>
      <c r="C329" s="496"/>
      <c r="D329" s="240">
        <v>157598</v>
      </c>
    </row>
    <row r="330" spans="2:4" ht="15" customHeight="1">
      <c r="B330" s="500" t="s">
        <v>474</v>
      </c>
      <c r="C330" s="496"/>
      <c r="D330" s="240">
        <v>466202</v>
      </c>
    </row>
    <row r="331" spans="2:4" ht="15" customHeight="1">
      <c r="B331" s="500" t="s">
        <v>476</v>
      </c>
      <c r="C331" s="496"/>
      <c r="D331" s="240">
        <v>6000</v>
      </c>
    </row>
    <row r="333" spans="1:4" ht="15.75" customHeight="1">
      <c r="A333" s="501" t="s">
        <v>499</v>
      </c>
      <c r="B333" s="496"/>
      <c r="C333" s="496"/>
      <c r="D333" s="496"/>
    </row>
    <row r="334" spans="2:4" s="91" customFormat="1" ht="15" customHeight="1">
      <c r="B334" s="495" t="s">
        <v>471</v>
      </c>
      <c r="C334" s="499"/>
      <c r="D334" s="239">
        <f>3571938+20357</f>
        <v>3592295</v>
      </c>
    </row>
    <row r="335" spans="2:4" ht="15" customHeight="1">
      <c r="B335" s="500" t="s">
        <v>472</v>
      </c>
      <c r="C335" s="496"/>
      <c r="D335" s="240">
        <f>1713352+20357</f>
        <v>1733709</v>
      </c>
    </row>
    <row r="336" spans="2:4" ht="15" customHeight="1">
      <c r="B336" s="500" t="s">
        <v>473</v>
      </c>
      <c r="C336" s="496"/>
      <c r="D336" s="240">
        <v>1612768</v>
      </c>
    </row>
    <row r="337" spans="2:4" ht="15" customHeight="1">
      <c r="B337" s="500" t="s">
        <v>475</v>
      </c>
      <c r="C337" s="496"/>
      <c r="D337" s="240">
        <v>245818</v>
      </c>
    </row>
    <row r="339" spans="1:4" ht="15.75" customHeight="1" hidden="1">
      <c r="A339" s="501" t="s">
        <v>605</v>
      </c>
      <c r="B339" s="496"/>
      <c r="C339" s="496"/>
      <c r="D339" s="496"/>
    </row>
    <row r="340" spans="2:4" ht="15" customHeight="1" hidden="1">
      <c r="B340" s="500" t="s">
        <v>471</v>
      </c>
      <c r="C340" s="496"/>
      <c r="D340" s="240">
        <f>1690313+3739</f>
        <v>1694052</v>
      </c>
    </row>
    <row r="341" spans="2:4" ht="15" customHeight="1" hidden="1">
      <c r="B341" s="500" t="s">
        <v>472</v>
      </c>
      <c r="C341" s="496"/>
      <c r="D341" s="240">
        <f>925899+3739</f>
        <v>929638</v>
      </c>
    </row>
    <row r="342" spans="2:4" ht="15" customHeight="1" hidden="1">
      <c r="B342" s="500" t="s">
        <v>473</v>
      </c>
      <c r="C342" s="496"/>
      <c r="D342" s="240">
        <v>518596</v>
      </c>
    </row>
    <row r="343" spans="2:4" ht="15" customHeight="1" hidden="1">
      <c r="B343" s="500" t="s">
        <v>475</v>
      </c>
      <c r="C343" s="496"/>
      <c r="D343" s="240">
        <v>245818</v>
      </c>
    </row>
    <row r="344" ht="12.75" hidden="1"/>
    <row r="345" spans="1:4" ht="15.75" customHeight="1" hidden="1">
      <c r="A345" s="501" t="s">
        <v>604</v>
      </c>
      <c r="B345" s="496"/>
      <c r="C345" s="496"/>
      <c r="D345" s="496"/>
    </row>
    <row r="346" spans="2:4" ht="15" customHeight="1" hidden="1">
      <c r="B346" s="500" t="s">
        <v>471</v>
      </c>
      <c r="C346" s="496"/>
      <c r="D346" s="240">
        <f>666046+3368+9728</f>
        <v>679142</v>
      </c>
    </row>
    <row r="347" spans="2:4" ht="15" customHeight="1" hidden="1">
      <c r="B347" s="500" t="s">
        <v>472</v>
      </c>
      <c r="C347" s="496"/>
      <c r="D347" s="240">
        <f>245284+3368+9728</f>
        <v>258380</v>
      </c>
    </row>
    <row r="348" spans="2:4" ht="15" customHeight="1" hidden="1">
      <c r="B348" s="500" t="s">
        <v>473</v>
      </c>
      <c r="C348" s="496"/>
      <c r="D348" s="240">
        <v>420762</v>
      </c>
    </row>
    <row r="349" ht="12.75" hidden="1"/>
    <row r="350" spans="1:4" ht="15.75" customHeight="1" hidden="1">
      <c r="A350" s="501" t="s">
        <v>603</v>
      </c>
      <c r="B350" s="496"/>
      <c r="C350" s="496"/>
      <c r="D350" s="496"/>
    </row>
    <row r="351" spans="2:4" ht="15" customHeight="1" hidden="1">
      <c r="B351" s="500" t="s">
        <v>471</v>
      </c>
      <c r="C351" s="496"/>
      <c r="D351" s="240">
        <f>1215579+3522</f>
        <v>1219101</v>
      </c>
    </row>
    <row r="352" spans="2:4" ht="15" customHeight="1" hidden="1">
      <c r="B352" s="500" t="s">
        <v>472</v>
      </c>
      <c r="C352" s="496"/>
      <c r="D352" s="240">
        <f>542169+3522</f>
        <v>545691</v>
      </c>
    </row>
    <row r="353" spans="2:4" ht="15" customHeight="1" hidden="1">
      <c r="B353" s="500" t="s">
        <v>473</v>
      </c>
      <c r="C353" s="496"/>
      <c r="D353" s="240">
        <v>673410</v>
      </c>
    </row>
    <row r="354" ht="12.75" hidden="1"/>
    <row r="355" spans="1:4" ht="31.5" customHeight="1">
      <c r="A355" s="503" t="s">
        <v>677</v>
      </c>
      <c r="B355" s="496"/>
      <c r="C355" s="496"/>
      <c r="D355" s="496"/>
    </row>
    <row r="356" spans="1:4" ht="15" customHeight="1">
      <c r="A356" s="241"/>
      <c r="B356" s="502" t="s">
        <v>471</v>
      </c>
      <c r="C356" s="499"/>
      <c r="D356" s="478">
        <v>919291</v>
      </c>
    </row>
    <row r="357" spans="1:4" ht="15" customHeight="1">
      <c r="A357" s="241"/>
      <c r="B357" s="502" t="s">
        <v>472</v>
      </c>
      <c r="C357" s="499"/>
      <c r="D357" s="478">
        <v>763181</v>
      </c>
    </row>
    <row r="358" spans="1:4" ht="15" customHeight="1">
      <c r="A358" s="241"/>
      <c r="B358" s="502" t="s">
        <v>473</v>
      </c>
      <c r="C358" s="499"/>
      <c r="D358" s="478">
        <v>111183</v>
      </c>
    </row>
    <row r="359" spans="1:4" ht="15" customHeight="1">
      <c r="A359" s="241"/>
      <c r="B359" s="502" t="s">
        <v>475</v>
      </c>
      <c r="C359" s="499"/>
      <c r="D359" s="478">
        <v>44927</v>
      </c>
    </row>
    <row r="361" spans="1:4" ht="15.75" customHeight="1">
      <c r="A361" s="501" t="s">
        <v>676</v>
      </c>
      <c r="B361" s="496"/>
      <c r="C361" s="496"/>
      <c r="D361" s="496"/>
    </row>
    <row r="362" spans="2:4" s="91" customFormat="1" ht="15" customHeight="1">
      <c r="B362" s="495" t="s">
        <v>471</v>
      </c>
      <c r="C362" s="499"/>
      <c r="D362" s="239">
        <v>919291</v>
      </c>
    </row>
    <row r="363" spans="2:4" ht="15" customHeight="1">
      <c r="B363" s="500" t="s">
        <v>472</v>
      </c>
      <c r="C363" s="496"/>
      <c r="D363" s="240">
        <v>763181</v>
      </c>
    </row>
    <row r="364" spans="2:4" ht="15" customHeight="1">
      <c r="B364" s="500" t="s">
        <v>473</v>
      </c>
      <c r="C364" s="496"/>
      <c r="D364" s="240">
        <v>111183</v>
      </c>
    </row>
    <row r="365" spans="2:4" ht="15" customHeight="1">
      <c r="B365" s="500" t="s">
        <v>475</v>
      </c>
      <c r="C365" s="496"/>
      <c r="D365" s="240">
        <v>44927</v>
      </c>
    </row>
    <row r="367" spans="1:4" ht="31.5" customHeight="1">
      <c r="A367" s="503" t="s">
        <v>675</v>
      </c>
      <c r="B367" s="496"/>
      <c r="C367" s="496"/>
      <c r="D367" s="496"/>
    </row>
    <row r="368" spans="1:4" ht="15" customHeight="1">
      <c r="A368" s="241"/>
      <c r="B368" s="502" t="s">
        <v>471</v>
      </c>
      <c r="C368" s="499"/>
      <c r="D368" s="478">
        <v>785193</v>
      </c>
    </row>
    <row r="369" spans="1:4" ht="15" customHeight="1">
      <c r="A369" s="241"/>
      <c r="B369" s="502" t="s">
        <v>472</v>
      </c>
      <c r="C369" s="499"/>
      <c r="D369" s="478">
        <v>682440</v>
      </c>
    </row>
    <row r="370" spans="1:4" ht="15" customHeight="1">
      <c r="A370" s="241"/>
      <c r="B370" s="502" t="s">
        <v>473</v>
      </c>
      <c r="C370" s="499"/>
      <c r="D370" s="478">
        <v>102753</v>
      </c>
    </row>
    <row r="372" spans="1:4" ht="15.75" customHeight="1">
      <c r="A372" s="501" t="s">
        <v>674</v>
      </c>
      <c r="B372" s="496"/>
      <c r="C372" s="496"/>
      <c r="D372" s="496"/>
    </row>
    <row r="373" spans="2:4" s="91" customFormat="1" ht="15" customHeight="1">
      <c r="B373" s="495" t="s">
        <v>471</v>
      </c>
      <c r="C373" s="499"/>
      <c r="D373" s="239">
        <v>785193</v>
      </c>
    </row>
    <row r="374" spans="2:4" ht="15" customHeight="1">
      <c r="B374" s="500" t="s">
        <v>472</v>
      </c>
      <c r="C374" s="496"/>
      <c r="D374" s="240">
        <v>682440</v>
      </c>
    </row>
    <row r="375" spans="2:4" ht="15" customHeight="1">
      <c r="B375" s="500" t="s">
        <v>473</v>
      </c>
      <c r="C375" s="496"/>
      <c r="D375" s="240">
        <v>102753</v>
      </c>
    </row>
    <row r="377" spans="1:4" ht="15.75" customHeight="1">
      <c r="A377" s="503" t="s">
        <v>673</v>
      </c>
      <c r="B377" s="496"/>
      <c r="C377" s="496"/>
      <c r="D377" s="496"/>
    </row>
    <row r="378" spans="1:4" ht="15" customHeight="1">
      <c r="A378" s="241"/>
      <c r="B378" s="502" t="s">
        <v>471</v>
      </c>
      <c r="C378" s="499"/>
      <c r="D378" s="478">
        <v>3155108</v>
      </c>
    </row>
    <row r="379" spans="1:4" ht="15" customHeight="1">
      <c r="A379" s="241"/>
      <c r="B379" s="502" t="s">
        <v>472</v>
      </c>
      <c r="C379" s="499"/>
      <c r="D379" s="478">
        <v>1912695</v>
      </c>
    </row>
    <row r="380" spans="1:4" ht="15" customHeight="1">
      <c r="A380" s="241"/>
      <c r="B380" s="502" t="s">
        <v>473</v>
      </c>
      <c r="C380" s="499"/>
      <c r="D380" s="478">
        <v>1167230</v>
      </c>
    </row>
    <row r="381" spans="1:4" ht="15" customHeight="1">
      <c r="A381" s="241"/>
      <c r="B381" s="502" t="s">
        <v>474</v>
      </c>
      <c r="C381" s="499"/>
      <c r="D381" s="478">
        <v>12944</v>
      </c>
    </row>
    <row r="382" spans="1:4" ht="15" customHeight="1">
      <c r="A382" s="241"/>
      <c r="B382" s="502" t="s">
        <v>475</v>
      </c>
      <c r="C382" s="499"/>
      <c r="D382" s="478">
        <v>16729</v>
      </c>
    </row>
    <row r="383" spans="1:4" ht="15" customHeight="1">
      <c r="A383" s="241"/>
      <c r="B383" s="502" t="s">
        <v>476</v>
      </c>
      <c r="C383" s="499"/>
      <c r="D383" s="478">
        <v>43310</v>
      </c>
    </row>
    <row r="384" spans="1:4" ht="30" customHeight="1">
      <c r="A384" s="241"/>
      <c r="B384" s="502" t="s">
        <v>477</v>
      </c>
      <c r="C384" s="499"/>
      <c r="D384" s="478">
        <v>2200</v>
      </c>
    </row>
    <row r="386" spans="1:4" ht="15.75" customHeight="1">
      <c r="A386" s="501" t="s">
        <v>672</v>
      </c>
      <c r="B386" s="496"/>
      <c r="C386" s="496"/>
      <c r="D386" s="496"/>
    </row>
    <row r="387" spans="2:4" s="91" customFormat="1" ht="15" customHeight="1">
      <c r="B387" s="495" t="s">
        <v>471</v>
      </c>
      <c r="C387" s="499"/>
      <c r="D387" s="239">
        <v>1589586</v>
      </c>
    </row>
    <row r="388" spans="2:4" ht="15" customHeight="1">
      <c r="B388" s="500" t="s">
        <v>472</v>
      </c>
      <c r="C388" s="496"/>
      <c r="D388" s="240">
        <v>1154302</v>
      </c>
    </row>
    <row r="389" spans="2:4" ht="15" customHeight="1">
      <c r="B389" s="500" t="s">
        <v>473</v>
      </c>
      <c r="C389" s="496"/>
      <c r="D389" s="240">
        <v>435284</v>
      </c>
    </row>
    <row r="391" spans="1:4" ht="15.75" customHeight="1">
      <c r="A391" s="501" t="s">
        <v>671</v>
      </c>
      <c r="B391" s="496"/>
      <c r="C391" s="496"/>
      <c r="D391" s="496"/>
    </row>
    <row r="392" spans="2:4" s="91" customFormat="1" ht="15" customHeight="1">
      <c r="B392" s="495" t="s">
        <v>471</v>
      </c>
      <c r="C392" s="499"/>
      <c r="D392" s="239">
        <v>803837</v>
      </c>
    </row>
    <row r="393" spans="2:4" ht="15" customHeight="1">
      <c r="B393" s="500" t="s">
        <v>472</v>
      </c>
      <c r="C393" s="496"/>
      <c r="D393" s="240">
        <v>73263</v>
      </c>
    </row>
    <row r="394" spans="2:4" ht="15" customHeight="1">
      <c r="B394" s="500" t="s">
        <v>473</v>
      </c>
      <c r="C394" s="496"/>
      <c r="D394" s="240">
        <v>675552</v>
      </c>
    </row>
    <row r="395" spans="2:4" ht="15" customHeight="1">
      <c r="B395" s="500" t="s">
        <v>475</v>
      </c>
      <c r="C395" s="496"/>
      <c r="D395" s="240">
        <v>11712</v>
      </c>
    </row>
    <row r="396" spans="2:4" ht="15" customHeight="1">
      <c r="B396" s="500" t="s">
        <v>476</v>
      </c>
      <c r="C396" s="496"/>
      <c r="D396" s="240">
        <v>43310</v>
      </c>
    </row>
    <row r="398" spans="1:4" ht="15.75" customHeight="1">
      <c r="A398" s="501" t="s">
        <v>500</v>
      </c>
      <c r="B398" s="496"/>
      <c r="C398" s="496"/>
      <c r="D398" s="496"/>
    </row>
    <row r="399" spans="2:4" s="91" customFormat="1" ht="15" customHeight="1">
      <c r="B399" s="495" t="s">
        <v>471</v>
      </c>
      <c r="C399" s="499"/>
      <c r="D399" s="239">
        <v>104313</v>
      </c>
    </row>
    <row r="400" spans="2:4" ht="15" customHeight="1">
      <c r="B400" s="500" t="s">
        <v>472</v>
      </c>
      <c r="C400" s="496"/>
      <c r="D400" s="240">
        <v>99593</v>
      </c>
    </row>
    <row r="401" spans="2:4" ht="15" customHeight="1">
      <c r="B401" s="500" t="s">
        <v>473</v>
      </c>
      <c r="C401" s="496"/>
      <c r="D401" s="240">
        <v>4720</v>
      </c>
    </row>
    <row r="403" spans="1:4" ht="15.75" customHeight="1">
      <c r="A403" s="501" t="s">
        <v>501</v>
      </c>
      <c r="B403" s="496"/>
      <c r="C403" s="496"/>
      <c r="D403" s="496"/>
    </row>
    <row r="404" spans="2:4" s="91" customFormat="1" ht="15" customHeight="1">
      <c r="B404" s="495" t="s">
        <v>471</v>
      </c>
      <c r="C404" s="499"/>
      <c r="D404" s="239">
        <v>25024</v>
      </c>
    </row>
    <row r="405" spans="2:4" ht="15" customHeight="1">
      <c r="B405" s="500" t="s">
        <v>472</v>
      </c>
      <c r="C405" s="496"/>
      <c r="D405" s="240">
        <v>22024</v>
      </c>
    </row>
    <row r="406" spans="2:4" ht="15" customHeight="1">
      <c r="B406" s="500" t="s">
        <v>473</v>
      </c>
      <c r="C406" s="496"/>
      <c r="D406" s="240">
        <v>3000</v>
      </c>
    </row>
    <row r="408" spans="1:4" ht="15.75" customHeight="1">
      <c r="A408" s="501" t="s">
        <v>502</v>
      </c>
      <c r="B408" s="496"/>
      <c r="C408" s="496"/>
      <c r="D408" s="496"/>
    </row>
    <row r="409" spans="2:4" s="91" customFormat="1" ht="15" customHeight="1">
      <c r="B409" s="495" t="s">
        <v>471</v>
      </c>
      <c r="C409" s="499"/>
      <c r="D409" s="239">
        <v>593895</v>
      </c>
    </row>
    <row r="410" spans="2:4" ht="15" customHeight="1">
      <c r="B410" s="500" t="s">
        <v>472</v>
      </c>
      <c r="C410" s="496"/>
      <c r="D410" s="240">
        <v>555864</v>
      </c>
    </row>
    <row r="411" spans="2:4" ht="15" customHeight="1">
      <c r="B411" s="500" t="s">
        <v>473</v>
      </c>
      <c r="C411" s="496"/>
      <c r="D411" s="240">
        <v>36014</v>
      </c>
    </row>
    <row r="412" spans="2:4" ht="15" customHeight="1">
      <c r="B412" s="500" t="s">
        <v>475</v>
      </c>
      <c r="C412" s="496"/>
      <c r="D412" s="240">
        <v>2017</v>
      </c>
    </row>
    <row r="414" spans="1:4" ht="15.75" customHeight="1">
      <c r="A414" s="501" t="s">
        <v>503</v>
      </c>
      <c r="B414" s="496"/>
      <c r="C414" s="496"/>
      <c r="D414" s="496"/>
    </row>
    <row r="415" spans="2:4" s="91" customFormat="1" ht="15" customHeight="1">
      <c r="B415" s="495" t="s">
        <v>471</v>
      </c>
      <c r="C415" s="499"/>
      <c r="D415" s="239">
        <v>38453</v>
      </c>
    </row>
    <row r="416" spans="2:4" ht="15" customHeight="1">
      <c r="B416" s="500" t="s">
        <v>472</v>
      </c>
      <c r="C416" s="496"/>
      <c r="D416" s="240">
        <v>7649</v>
      </c>
    </row>
    <row r="417" spans="2:4" ht="15" customHeight="1">
      <c r="B417" s="500" t="s">
        <v>473</v>
      </c>
      <c r="C417" s="496"/>
      <c r="D417" s="240">
        <v>12660</v>
      </c>
    </row>
    <row r="418" spans="2:4" ht="15" customHeight="1">
      <c r="B418" s="500" t="s">
        <v>474</v>
      </c>
      <c r="C418" s="496"/>
      <c r="D418" s="240">
        <v>12944</v>
      </c>
    </row>
    <row r="419" spans="2:4" ht="15" customHeight="1">
      <c r="B419" s="500" t="s">
        <v>475</v>
      </c>
      <c r="C419" s="496"/>
      <c r="D419" s="240">
        <v>3000</v>
      </c>
    </row>
    <row r="420" spans="2:4" ht="30" customHeight="1">
      <c r="B420" s="500" t="s">
        <v>477</v>
      </c>
      <c r="C420" s="496"/>
      <c r="D420" s="240">
        <v>2200</v>
      </c>
    </row>
    <row r="422" spans="1:4" ht="31.5" customHeight="1">
      <c r="A422" s="503" t="s">
        <v>670</v>
      </c>
      <c r="B422" s="496"/>
      <c r="C422" s="496"/>
      <c r="D422" s="496"/>
    </row>
    <row r="423" spans="1:4" ht="15" customHeight="1">
      <c r="A423" s="241"/>
      <c r="B423" s="502" t="s">
        <v>471</v>
      </c>
      <c r="C423" s="499"/>
      <c r="D423" s="478">
        <v>588870</v>
      </c>
    </row>
    <row r="424" spans="1:4" ht="15" customHeight="1">
      <c r="A424" s="241"/>
      <c r="B424" s="502" t="s">
        <v>472</v>
      </c>
      <c r="C424" s="499"/>
      <c r="D424" s="478">
        <v>442380</v>
      </c>
    </row>
    <row r="425" spans="1:4" ht="15" customHeight="1">
      <c r="A425" s="241"/>
      <c r="B425" s="502" t="s">
        <v>473</v>
      </c>
      <c r="C425" s="499"/>
      <c r="D425" s="478">
        <v>145702</v>
      </c>
    </row>
    <row r="426" spans="1:4" ht="15" customHeight="1">
      <c r="A426" s="241"/>
      <c r="B426" s="502" t="s">
        <v>475</v>
      </c>
      <c r="C426" s="499"/>
      <c r="D426" s="478">
        <v>788</v>
      </c>
    </row>
    <row r="428" spans="1:4" ht="15.75" customHeight="1">
      <c r="A428" s="501" t="s">
        <v>669</v>
      </c>
      <c r="B428" s="496"/>
      <c r="C428" s="496"/>
      <c r="D428" s="496"/>
    </row>
    <row r="429" spans="2:4" s="91" customFormat="1" ht="15" customHeight="1">
      <c r="B429" s="495" t="s">
        <v>471</v>
      </c>
      <c r="C429" s="499"/>
      <c r="D429" s="239">
        <v>588870</v>
      </c>
    </row>
    <row r="430" spans="2:4" ht="15" customHeight="1">
      <c r="B430" s="500" t="s">
        <v>472</v>
      </c>
      <c r="C430" s="496"/>
      <c r="D430" s="240">
        <v>442380</v>
      </c>
    </row>
    <row r="431" spans="2:4" ht="15" customHeight="1">
      <c r="B431" s="500" t="s">
        <v>473</v>
      </c>
      <c r="C431" s="496"/>
      <c r="D431" s="240">
        <v>145702</v>
      </c>
    </row>
    <row r="432" spans="2:4" ht="15" customHeight="1">
      <c r="B432" s="500" t="s">
        <v>475</v>
      </c>
      <c r="C432" s="496"/>
      <c r="D432" s="240">
        <v>788</v>
      </c>
    </row>
    <row r="434" spans="1:4" ht="47.25" customHeight="1">
      <c r="A434" s="503" t="s">
        <v>668</v>
      </c>
      <c r="B434" s="496"/>
      <c r="C434" s="496"/>
      <c r="D434" s="496"/>
    </row>
    <row r="435" spans="1:4" ht="15" customHeight="1">
      <c r="A435" s="241"/>
      <c r="B435" s="502" t="s">
        <v>471</v>
      </c>
      <c r="C435" s="499"/>
      <c r="D435" s="478">
        <v>1327114</v>
      </c>
    </row>
    <row r="436" spans="1:4" ht="15" customHeight="1">
      <c r="A436" s="241"/>
      <c r="B436" s="502" t="s">
        <v>472</v>
      </c>
      <c r="C436" s="499"/>
      <c r="D436" s="478">
        <v>833683</v>
      </c>
    </row>
    <row r="437" spans="1:4" ht="15" customHeight="1">
      <c r="A437" s="241"/>
      <c r="B437" s="502" t="s">
        <v>473</v>
      </c>
      <c r="C437" s="499"/>
      <c r="D437" s="478">
        <v>414743</v>
      </c>
    </row>
    <row r="438" spans="1:4" ht="15" customHeight="1">
      <c r="A438" s="241"/>
      <c r="B438" s="502" t="s">
        <v>474</v>
      </c>
      <c r="C438" s="499"/>
      <c r="D438" s="478">
        <v>64300</v>
      </c>
    </row>
    <row r="439" spans="1:4" ht="15" customHeight="1">
      <c r="A439" s="241"/>
      <c r="B439" s="502" t="s">
        <v>475</v>
      </c>
      <c r="C439" s="499"/>
      <c r="D439" s="478">
        <v>4938</v>
      </c>
    </row>
    <row r="440" spans="1:4" ht="15" customHeight="1">
      <c r="A440" s="241"/>
      <c r="B440" s="502" t="s">
        <v>476</v>
      </c>
      <c r="C440" s="499"/>
      <c r="D440" s="478">
        <v>9450</v>
      </c>
    </row>
    <row r="442" spans="1:4" ht="15.75" customHeight="1">
      <c r="A442" s="501" t="s">
        <v>667</v>
      </c>
      <c r="B442" s="496"/>
      <c r="C442" s="496"/>
      <c r="D442" s="496"/>
    </row>
    <row r="443" spans="2:4" s="91" customFormat="1" ht="15" customHeight="1">
      <c r="B443" s="495" t="s">
        <v>471</v>
      </c>
      <c r="C443" s="499"/>
      <c r="D443" s="239">
        <v>1238799</v>
      </c>
    </row>
    <row r="444" spans="2:4" ht="15" customHeight="1">
      <c r="B444" s="500" t="s">
        <v>472</v>
      </c>
      <c r="C444" s="496"/>
      <c r="D444" s="240">
        <v>831829</v>
      </c>
    </row>
    <row r="445" spans="2:4" ht="15" customHeight="1">
      <c r="B445" s="500" t="s">
        <v>473</v>
      </c>
      <c r="C445" s="496"/>
      <c r="D445" s="240">
        <v>328282</v>
      </c>
    </row>
    <row r="446" spans="2:4" ht="15" customHeight="1">
      <c r="B446" s="500" t="s">
        <v>474</v>
      </c>
      <c r="C446" s="496"/>
      <c r="D446" s="240">
        <v>64300</v>
      </c>
    </row>
    <row r="447" spans="2:4" ht="15" customHeight="1">
      <c r="B447" s="500" t="s">
        <v>475</v>
      </c>
      <c r="C447" s="496"/>
      <c r="D447" s="240">
        <v>4938</v>
      </c>
    </row>
    <row r="448" spans="2:4" ht="15" customHeight="1">
      <c r="B448" s="500" t="s">
        <v>476</v>
      </c>
      <c r="C448" s="496"/>
      <c r="D448" s="240">
        <v>9450</v>
      </c>
    </row>
    <row r="450" spans="1:4" ht="15.75" customHeight="1">
      <c r="A450" s="501" t="s">
        <v>666</v>
      </c>
      <c r="B450" s="496"/>
      <c r="C450" s="496"/>
      <c r="D450" s="496"/>
    </row>
    <row r="451" spans="2:4" s="91" customFormat="1" ht="15" customHeight="1">
      <c r="B451" s="495" t="s">
        <v>471</v>
      </c>
      <c r="C451" s="499"/>
      <c r="D451" s="239">
        <v>88315</v>
      </c>
    </row>
    <row r="452" spans="2:4" ht="15" customHeight="1">
      <c r="B452" s="500" t="s">
        <v>472</v>
      </c>
      <c r="C452" s="496"/>
      <c r="D452" s="240">
        <v>1854</v>
      </c>
    </row>
    <row r="453" spans="2:4" ht="15" customHeight="1">
      <c r="B453" s="500" t="s">
        <v>473</v>
      </c>
      <c r="C453" s="496"/>
      <c r="D453" s="240">
        <v>86461</v>
      </c>
    </row>
    <row r="455" spans="1:4" ht="31.5" customHeight="1">
      <c r="A455" s="503" t="s">
        <v>665</v>
      </c>
      <c r="B455" s="496"/>
      <c r="C455" s="496"/>
      <c r="D455" s="496"/>
    </row>
    <row r="456" spans="1:4" ht="15" customHeight="1">
      <c r="A456" s="241"/>
      <c r="B456" s="502" t="s">
        <v>471</v>
      </c>
      <c r="C456" s="499"/>
      <c r="D456" s="478">
        <v>47613454</v>
      </c>
    </row>
    <row r="457" spans="1:4" ht="15" customHeight="1">
      <c r="A457" s="241"/>
      <c r="B457" s="502" t="s">
        <v>472</v>
      </c>
      <c r="C457" s="499"/>
      <c r="D457" s="478">
        <v>34342116</v>
      </c>
    </row>
    <row r="458" spans="1:4" ht="15" customHeight="1">
      <c r="A458" s="241"/>
      <c r="B458" s="502" t="s">
        <v>473</v>
      </c>
      <c r="C458" s="499"/>
      <c r="D458" s="478">
        <v>5928477</v>
      </c>
    </row>
    <row r="459" spans="1:4" ht="15" customHeight="1">
      <c r="A459" s="241"/>
      <c r="B459" s="502" t="s">
        <v>474</v>
      </c>
      <c r="C459" s="499"/>
      <c r="D459" s="478">
        <v>3055035</v>
      </c>
    </row>
    <row r="460" spans="1:4" ht="15" customHeight="1">
      <c r="A460" s="241"/>
      <c r="B460" s="502" t="s">
        <v>475</v>
      </c>
      <c r="C460" s="499"/>
      <c r="D460" s="478">
        <v>2671444</v>
      </c>
    </row>
    <row r="461" spans="1:4" ht="15" customHeight="1">
      <c r="A461" s="241"/>
      <c r="B461" s="502" t="s">
        <v>476</v>
      </c>
      <c r="C461" s="499"/>
      <c r="D461" s="478">
        <v>611120</v>
      </c>
    </row>
    <row r="462" spans="1:4" ht="30" customHeight="1">
      <c r="A462" s="241"/>
      <c r="B462" s="502" t="s">
        <v>477</v>
      </c>
      <c r="C462" s="499"/>
      <c r="D462" s="478">
        <v>1005262</v>
      </c>
    </row>
    <row r="465" spans="1:4" ht="15.75" customHeight="1">
      <c r="A465" s="501" t="s">
        <v>504</v>
      </c>
      <c r="B465" s="496"/>
      <c r="C465" s="496"/>
      <c r="D465" s="496"/>
    </row>
    <row r="466" spans="2:4" s="91" customFormat="1" ht="15" customHeight="1">
      <c r="B466" s="495" t="s">
        <v>471</v>
      </c>
      <c r="C466" s="499"/>
      <c r="D466" s="239">
        <v>1004183</v>
      </c>
    </row>
    <row r="467" spans="2:4" ht="30" customHeight="1">
      <c r="B467" s="500" t="s">
        <v>477</v>
      </c>
      <c r="C467" s="496"/>
      <c r="D467" s="240">
        <v>1004183</v>
      </c>
    </row>
    <row r="469" spans="1:4" ht="15.75" customHeight="1">
      <c r="A469" s="501" t="s">
        <v>664</v>
      </c>
      <c r="B469" s="496"/>
      <c r="C469" s="496"/>
      <c r="D469" s="496"/>
    </row>
    <row r="470" spans="2:4" s="91" customFormat="1" ht="15" customHeight="1">
      <c r="B470" s="495" t="s">
        <v>471</v>
      </c>
      <c r="C470" s="499"/>
      <c r="D470" s="239">
        <v>14298545</v>
      </c>
    </row>
    <row r="471" spans="2:4" ht="15" customHeight="1">
      <c r="B471" s="500" t="s">
        <v>472</v>
      </c>
      <c r="C471" s="496"/>
      <c r="D471" s="240">
        <v>9554402</v>
      </c>
    </row>
    <row r="472" spans="2:4" ht="15" customHeight="1">
      <c r="B472" s="500" t="s">
        <v>473</v>
      </c>
      <c r="C472" s="496"/>
      <c r="D472" s="240">
        <v>1133537</v>
      </c>
    </row>
    <row r="473" spans="2:4" ht="15" customHeight="1">
      <c r="B473" s="500" t="s">
        <v>474</v>
      </c>
      <c r="C473" s="496"/>
      <c r="D473" s="240">
        <v>2629155</v>
      </c>
    </row>
    <row r="474" spans="2:4" ht="15" customHeight="1">
      <c r="B474" s="500" t="s">
        <v>475</v>
      </c>
      <c r="C474" s="496"/>
      <c r="D474" s="240">
        <v>981451</v>
      </c>
    </row>
    <row r="476" spans="1:4" ht="15.75" customHeight="1">
      <c r="A476" s="501" t="s">
        <v>663</v>
      </c>
      <c r="B476" s="496"/>
      <c r="C476" s="496"/>
      <c r="D476" s="496"/>
    </row>
    <row r="477" spans="2:4" s="91" customFormat="1" ht="15" customHeight="1">
      <c r="B477" s="495" t="s">
        <v>471</v>
      </c>
      <c r="C477" s="499"/>
      <c r="D477" s="239">
        <v>5124</v>
      </c>
    </row>
    <row r="478" spans="2:4" ht="15" customHeight="1">
      <c r="B478" s="500" t="s">
        <v>473</v>
      </c>
      <c r="C478" s="496"/>
      <c r="D478" s="240">
        <v>5124</v>
      </c>
    </row>
    <row r="480" spans="1:4" ht="15.75" customHeight="1">
      <c r="A480" s="501" t="s">
        <v>505</v>
      </c>
      <c r="B480" s="496"/>
      <c r="C480" s="496"/>
      <c r="D480" s="496"/>
    </row>
    <row r="481" spans="2:4" s="91" customFormat="1" ht="15" customHeight="1">
      <c r="B481" s="495" t="s">
        <v>471</v>
      </c>
      <c r="C481" s="499"/>
      <c r="D481" s="239">
        <v>21194610</v>
      </c>
    </row>
    <row r="482" spans="2:4" ht="15" customHeight="1">
      <c r="B482" s="500" t="s">
        <v>472</v>
      </c>
      <c r="C482" s="496"/>
      <c r="D482" s="240">
        <v>18357787</v>
      </c>
    </row>
    <row r="483" spans="2:4" ht="15" customHeight="1">
      <c r="B483" s="500" t="s">
        <v>473</v>
      </c>
      <c r="C483" s="496"/>
      <c r="D483" s="240">
        <v>1865642</v>
      </c>
    </row>
    <row r="484" spans="2:4" ht="15" customHeight="1">
      <c r="B484" s="500" t="s">
        <v>474</v>
      </c>
      <c r="C484" s="496"/>
      <c r="D484" s="240">
        <v>382002</v>
      </c>
    </row>
    <row r="485" spans="2:4" ht="15" customHeight="1">
      <c r="B485" s="500" t="s">
        <v>475</v>
      </c>
      <c r="C485" s="496"/>
      <c r="D485" s="240">
        <v>544404</v>
      </c>
    </row>
    <row r="486" spans="2:4" ht="15" customHeight="1">
      <c r="B486" s="500" t="s">
        <v>476</v>
      </c>
      <c r="C486" s="496"/>
      <c r="D486" s="240">
        <v>44775</v>
      </c>
    </row>
    <row r="488" spans="1:4" ht="15.75" customHeight="1">
      <c r="A488" s="501" t="s">
        <v>662</v>
      </c>
      <c r="B488" s="496"/>
      <c r="C488" s="496"/>
      <c r="D488" s="496"/>
    </row>
    <row r="489" spans="2:4" s="91" customFormat="1" ht="15" customHeight="1">
      <c r="B489" s="495" t="s">
        <v>471</v>
      </c>
      <c r="C489" s="499"/>
      <c r="D489" s="239">
        <v>1836343</v>
      </c>
    </row>
    <row r="490" spans="2:4" ht="15" customHeight="1">
      <c r="B490" s="500" t="s">
        <v>472</v>
      </c>
      <c r="C490" s="496"/>
      <c r="D490" s="240">
        <v>1470274</v>
      </c>
    </row>
    <row r="491" spans="2:4" ht="15" customHeight="1">
      <c r="B491" s="500" t="s">
        <v>473</v>
      </c>
      <c r="C491" s="496"/>
      <c r="D491" s="240">
        <v>349195</v>
      </c>
    </row>
    <row r="492" spans="2:4" ht="15" customHeight="1">
      <c r="B492" s="500" t="s">
        <v>475</v>
      </c>
      <c r="C492" s="496"/>
      <c r="D492" s="240">
        <v>16874</v>
      </c>
    </row>
    <row r="494" spans="1:4" ht="15.75" customHeight="1">
      <c r="A494" s="501" t="s">
        <v>506</v>
      </c>
      <c r="B494" s="496"/>
      <c r="C494" s="496"/>
      <c r="D494" s="496"/>
    </row>
    <row r="495" spans="2:4" s="91" customFormat="1" ht="15" customHeight="1">
      <c r="B495" s="495" t="s">
        <v>471</v>
      </c>
      <c r="C495" s="499"/>
      <c r="D495" s="239">
        <v>270030</v>
      </c>
    </row>
    <row r="496" spans="2:4" ht="15" customHeight="1">
      <c r="B496" s="500" t="s">
        <v>472</v>
      </c>
      <c r="C496" s="496"/>
      <c r="D496" s="240">
        <v>11863</v>
      </c>
    </row>
    <row r="497" spans="2:4" ht="15" customHeight="1">
      <c r="B497" s="500" t="s">
        <v>473</v>
      </c>
      <c r="C497" s="496"/>
      <c r="D497" s="240">
        <v>249577</v>
      </c>
    </row>
    <row r="498" spans="2:4" ht="15" customHeight="1">
      <c r="B498" s="500" t="s">
        <v>475</v>
      </c>
      <c r="C498" s="496"/>
      <c r="D498" s="240">
        <v>8590</v>
      </c>
    </row>
    <row r="500" spans="1:4" ht="31.5" customHeight="1">
      <c r="A500" s="501" t="s">
        <v>661</v>
      </c>
      <c r="B500" s="496"/>
      <c r="C500" s="496"/>
      <c r="D500" s="496"/>
    </row>
    <row r="501" spans="2:4" s="91" customFormat="1" ht="15" customHeight="1">
      <c r="B501" s="495" t="s">
        <v>471</v>
      </c>
      <c r="C501" s="499"/>
      <c r="D501" s="239">
        <v>1113269</v>
      </c>
    </row>
    <row r="502" spans="2:4" ht="15" customHeight="1">
      <c r="B502" s="500" t="s">
        <v>475</v>
      </c>
      <c r="C502" s="496"/>
      <c r="D502" s="240">
        <v>1113269</v>
      </c>
    </row>
    <row r="504" spans="1:4" ht="15.75" customHeight="1">
      <c r="A504" s="501" t="s">
        <v>507</v>
      </c>
      <c r="B504" s="496"/>
      <c r="C504" s="496"/>
      <c r="D504" s="496"/>
    </row>
    <row r="505" spans="2:4" s="91" customFormat="1" ht="15" customHeight="1">
      <c r="B505" s="495" t="s">
        <v>471</v>
      </c>
      <c r="C505" s="499"/>
      <c r="D505" s="239">
        <v>2064413</v>
      </c>
    </row>
    <row r="506" spans="2:4" ht="15" customHeight="1">
      <c r="B506" s="500" t="s">
        <v>472</v>
      </c>
      <c r="C506" s="496"/>
      <c r="D506" s="240">
        <v>1787895</v>
      </c>
    </row>
    <row r="507" spans="2:4" ht="15" customHeight="1">
      <c r="B507" s="500" t="s">
        <v>473</v>
      </c>
      <c r="C507" s="496"/>
      <c r="D507" s="240">
        <v>188282</v>
      </c>
    </row>
    <row r="508" spans="2:4" ht="15" customHeight="1">
      <c r="B508" s="500" t="s">
        <v>475</v>
      </c>
      <c r="C508" s="496"/>
      <c r="D508" s="240">
        <v>2291</v>
      </c>
    </row>
    <row r="509" spans="2:4" ht="15" customHeight="1">
      <c r="B509" s="500" t="s">
        <v>476</v>
      </c>
      <c r="C509" s="496"/>
      <c r="D509" s="240">
        <v>85945</v>
      </c>
    </row>
    <row r="511" spans="1:4" ht="15.75" customHeight="1">
      <c r="A511" s="501" t="s">
        <v>508</v>
      </c>
      <c r="B511" s="496"/>
      <c r="C511" s="496"/>
      <c r="D511" s="496"/>
    </row>
    <row r="512" spans="2:4" s="91" customFormat="1" ht="15" customHeight="1">
      <c r="B512" s="495" t="s">
        <v>471</v>
      </c>
      <c r="C512" s="499"/>
      <c r="D512" s="239">
        <v>163559</v>
      </c>
    </row>
    <row r="513" spans="2:4" ht="15" customHeight="1">
      <c r="B513" s="500" t="s">
        <v>472</v>
      </c>
      <c r="C513" s="496"/>
      <c r="D513" s="240">
        <v>38520</v>
      </c>
    </row>
    <row r="514" spans="2:4" ht="15" customHeight="1">
      <c r="B514" s="500" t="s">
        <v>473</v>
      </c>
      <c r="C514" s="496"/>
      <c r="D514" s="240">
        <v>125039</v>
      </c>
    </row>
    <row r="516" spans="1:4" ht="31.5" customHeight="1">
      <c r="A516" s="501" t="s">
        <v>660</v>
      </c>
      <c r="B516" s="496"/>
      <c r="C516" s="496"/>
      <c r="D516" s="496"/>
    </row>
    <row r="517" spans="2:4" s="91" customFormat="1" ht="15" customHeight="1">
      <c r="B517" s="495" t="s">
        <v>471</v>
      </c>
      <c r="C517" s="499"/>
      <c r="D517" s="239">
        <v>1749214</v>
      </c>
    </row>
    <row r="518" spans="2:4" ht="15" customHeight="1">
      <c r="B518" s="500" t="s">
        <v>472</v>
      </c>
      <c r="C518" s="496"/>
      <c r="D518" s="240">
        <v>1489396</v>
      </c>
    </row>
    <row r="519" spans="2:4" ht="15" customHeight="1">
      <c r="B519" s="500" t="s">
        <v>473</v>
      </c>
      <c r="C519" s="496"/>
      <c r="D519" s="240">
        <v>215940</v>
      </c>
    </row>
    <row r="520" spans="2:4" ht="15" customHeight="1">
      <c r="B520" s="500" t="s">
        <v>474</v>
      </c>
      <c r="C520" s="496"/>
      <c r="D520" s="240">
        <v>43878</v>
      </c>
    </row>
    <row r="522" spans="1:4" ht="15.75" customHeight="1">
      <c r="A522" s="501" t="s">
        <v>510</v>
      </c>
      <c r="B522" s="496"/>
      <c r="C522" s="496"/>
      <c r="D522" s="496"/>
    </row>
    <row r="523" spans="2:4" s="91" customFormat="1" ht="15" customHeight="1">
      <c r="B523" s="495" t="s">
        <v>471</v>
      </c>
      <c r="C523" s="499"/>
      <c r="D523" s="239">
        <v>373224</v>
      </c>
    </row>
    <row r="524" spans="2:4" ht="15" customHeight="1">
      <c r="B524" s="500" t="s">
        <v>472</v>
      </c>
      <c r="C524" s="496"/>
      <c r="D524" s="240">
        <v>319099</v>
      </c>
    </row>
    <row r="525" spans="2:4" ht="15" customHeight="1">
      <c r="B525" s="500" t="s">
        <v>473</v>
      </c>
      <c r="C525" s="496"/>
      <c r="D525" s="240">
        <v>53046</v>
      </c>
    </row>
    <row r="526" spans="2:4" ht="30" customHeight="1">
      <c r="B526" s="500" t="s">
        <v>477</v>
      </c>
      <c r="C526" s="496"/>
      <c r="D526" s="240">
        <v>1079</v>
      </c>
    </row>
    <row r="528" spans="1:4" ht="15.75" customHeight="1">
      <c r="A528" s="501" t="s">
        <v>602</v>
      </c>
      <c r="B528" s="496"/>
      <c r="C528" s="496"/>
      <c r="D528" s="496"/>
    </row>
    <row r="529" spans="2:4" s="91" customFormat="1" ht="15" customHeight="1">
      <c r="B529" s="495" t="s">
        <v>471</v>
      </c>
      <c r="C529" s="499"/>
      <c r="D529" s="239">
        <v>1509887</v>
      </c>
    </row>
    <row r="530" spans="2:4" ht="15" customHeight="1">
      <c r="B530" s="500" t="s">
        <v>473</v>
      </c>
      <c r="C530" s="496"/>
      <c r="D530" s="240">
        <v>1509887</v>
      </c>
    </row>
    <row r="532" spans="1:4" ht="31.5" customHeight="1">
      <c r="A532" s="501" t="s">
        <v>659</v>
      </c>
      <c r="B532" s="496"/>
      <c r="C532" s="496"/>
      <c r="D532" s="496"/>
    </row>
    <row r="533" spans="2:4" s="91" customFormat="1" ht="15" customHeight="1">
      <c r="B533" s="495" t="s">
        <v>471</v>
      </c>
      <c r="C533" s="499"/>
      <c r="D533" s="239">
        <v>142812</v>
      </c>
    </row>
    <row r="534" spans="2:4" ht="15" customHeight="1">
      <c r="B534" s="500" t="s">
        <v>472</v>
      </c>
      <c r="C534" s="496"/>
      <c r="D534" s="240">
        <v>86829</v>
      </c>
    </row>
    <row r="535" spans="2:4" ht="15" customHeight="1">
      <c r="B535" s="500" t="s">
        <v>473</v>
      </c>
      <c r="C535" s="496"/>
      <c r="D535" s="240">
        <v>55983</v>
      </c>
    </row>
    <row r="537" spans="1:4" ht="15.75" customHeight="1">
      <c r="A537" s="501" t="s">
        <v>511</v>
      </c>
      <c r="B537" s="496"/>
      <c r="C537" s="496"/>
      <c r="D537" s="496"/>
    </row>
    <row r="538" spans="2:4" s="91" customFormat="1" ht="15" customHeight="1">
      <c r="B538" s="495" t="s">
        <v>471</v>
      </c>
      <c r="C538" s="499"/>
      <c r="D538" s="239">
        <v>35000</v>
      </c>
    </row>
    <row r="539" spans="2:4" ht="15" customHeight="1">
      <c r="B539" s="500" t="s">
        <v>472</v>
      </c>
      <c r="C539" s="496"/>
      <c r="D539" s="240">
        <v>35000</v>
      </c>
    </row>
    <row r="541" spans="1:4" ht="31.5" customHeight="1">
      <c r="A541" s="501" t="s">
        <v>601</v>
      </c>
      <c r="B541" s="496"/>
      <c r="C541" s="496"/>
      <c r="D541" s="496"/>
    </row>
    <row r="542" spans="2:4" s="91" customFormat="1" ht="15" customHeight="1">
      <c r="B542" s="495" t="s">
        <v>471</v>
      </c>
      <c r="C542" s="499"/>
      <c r="D542" s="239">
        <v>215800</v>
      </c>
    </row>
    <row r="543" spans="2:4" ht="15" customHeight="1">
      <c r="B543" s="500" t="s">
        <v>472</v>
      </c>
      <c r="C543" s="496"/>
      <c r="D543" s="240">
        <v>128236</v>
      </c>
    </row>
    <row r="544" spans="2:4" ht="15" customHeight="1">
      <c r="B544" s="500" t="s">
        <v>473</v>
      </c>
      <c r="C544" s="496"/>
      <c r="D544" s="240">
        <v>87564</v>
      </c>
    </row>
    <row r="546" spans="1:4" ht="15.75" customHeight="1">
      <c r="A546" s="501" t="s">
        <v>658</v>
      </c>
      <c r="B546" s="496"/>
      <c r="C546" s="496"/>
      <c r="D546" s="496"/>
    </row>
    <row r="547" spans="2:4" s="91" customFormat="1" ht="15" customHeight="1">
      <c r="B547" s="495" t="s">
        <v>471</v>
      </c>
      <c r="C547" s="499"/>
      <c r="D547" s="239">
        <v>1157441</v>
      </c>
    </row>
    <row r="548" spans="2:4" ht="15" customHeight="1">
      <c r="B548" s="500" t="s">
        <v>472</v>
      </c>
      <c r="C548" s="496"/>
      <c r="D548" s="240">
        <v>1062815</v>
      </c>
    </row>
    <row r="549" spans="2:4" ht="15" customHeight="1">
      <c r="B549" s="500" t="s">
        <v>473</v>
      </c>
      <c r="C549" s="496"/>
      <c r="D549" s="240">
        <v>89661</v>
      </c>
    </row>
    <row r="550" spans="2:4" ht="15" customHeight="1">
      <c r="B550" s="500" t="s">
        <v>475</v>
      </c>
      <c r="C550" s="496"/>
      <c r="D550" s="240">
        <v>4565</v>
      </c>
    </row>
    <row r="551" spans="2:4" ht="15" customHeight="1">
      <c r="B551" s="500" t="s">
        <v>476</v>
      </c>
      <c r="C551" s="496"/>
      <c r="D551" s="240">
        <v>400</v>
      </c>
    </row>
    <row r="553" spans="1:4" ht="15.75" customHeight="1">
      <c r="A553" s="501" t="s">
        <v>512</v>
      </c>
      <c r="B553" s="496"/>
      <c r="C553" s="496"/>
      <c r="D553" s="496"/>
    </row>
    <row r="554" spans="2:4" s="91" customFormat="1" ht="15" customHeight="1">
      <c r="B554" s="495" t="s">
        <v>471</v>
      </c>
      <c r="C554" s="499"/>
      <c r="D554" s="239">
        <v>480000</v>
      </c>
    </row>
    <row r="555" spans="2:4" ht="15" customHeight="1">
      <c r="B555" s="500" t="s">
        <v>476</v>
      </c>
      <c r="C555" s="496"/>
      <c r="D555" s="240">
        <v>480000</v>
      </c>
    </row>
    <row r="557" spans="1:4" ht="31.5" customHeight="1">
      <c r="A557" s="503" t="s">
        <v>657</v>
      </c>
      <c r="B557" s="496"/>
      <c r="C557" s="496"/>
      <c r="D557" s="496"/>
    </row>
    <row r="558" spans="1:4" ht="15" customHeight="1">
      <c r="A558" s="241"/>
      <c r="B558" s="502" t="s">
        <v>471</v>
      </c>
      <c r="C558" s="499"/>
      <c r="D558" s="478">
        <v>395649</v>
      </c>
    </row>
    <row r="559" spans="1:4" ht="15" customHeight="1">
      <c r="A559" s="241"/>
      <c r="B559" s="502" t="s">
        <v>472</v>
      </c>
      <c r="C559" s="499"/>
      <c r="D559" s="478">
        <v>371801</v>
      </c>
    </row>
    <row r="560" spans="1:4" ht="15" customHeight="1">
      <c r="A560" s="241"/>
      <c r="B560" s="502" t="s">
        <v>473</v>
      </c>
      <c r="C560" s="499"/>
      <c r="D560" s="478">
        <v>20848</v>
      </c>
    </row>
    <row r="561" spans="1:4" ht="15" customHeight="1">
      <c r="A561" s="241"/>
      <c r="B561" s="502" t="s">
        <v>475</v>
      </c>
      <c r="C561" s="499"/>
      <c r="D561" s="478">
        <v>3000</v>
      </c>
    </row>
    <row r="563" spans="1:4" ht="15.75" customHeight="1">
      <c r="A563" s="501" t="s">
        <v>656</v>
      </c>
      <c r="B563" s="496"/>
      <c r="C563" s="496"/>
      <c r="D563" s="496"/>
    </row>
    <row r="564" spans="2:4" s="91" customFormat="1" ht="15" customHeight="1">
      <c r="B564" s="495" t="s">
        <v>471</v>
      </c>
      <c r="C564" s="499"/>
      <c r="D564" s="239">
        <v>395649</v>
      </c>
    </row>
    <row r="565" spans="2:4" ht="15" customHeight="1">
      <c r="B565" s="500" t="s">
        <v>472</v>
      </c>
      <c r="C565" s="496"/>
      <c r="D565" s="240">
        <v>371801</v>
      </c>
    </row>
    <row r="566" spans="2:4" ht="15" customHeight="1">
      <c r="B566" s="500" t="s">
        <v>473</v>
      </c>
      <c r="C566" s="496"/>
      <c r="D566" s="240">
        <v>20848</v>
      </c>
    </row>
    <row r="567" spans="2:4" ht="15" customHeight="1">
      <c r="B567" s="500" t="s">
        <v>475</v>
      </c>
      <c r="C567" s="496"/>
      <c r="D567" s="240">
        <v>3000</v>
      </c>
    </row>
    <row r="569" spans="1:4" ht="31.5" customHeight="1">
      <c r="A569" s="503" t="s">
        <v>655</v>
      </c>
      <c r="B569" s="496"/>
      <c r="C569" s="496"/>
      <c r="D569" s="496"/>
    </row>
    <row r="570" spans="1:4" ht="15" customHeight="1">
      <c r="A570" s="241"/>
      <c r="B570" s="502" t="s">
        <v>471</v>
      </c>
      <c r="C570" s="499"/>
      <c r="D570" s="478">
        <v>11796019</v>
      </c>
    </row>
    <row r="571" spans="1:4" ht="15" customHeight="1">
      <c r="A571" s="241"/>
      <c r="B571" s="502" t="s">
        <v>472</v>
      </c>
      <c r="C571" s="499"/>
      <c r="D571" s="478">
        <v>5486990</v>
      </c>
    </row>
    <row r="572" spans="1:4" ht="15" customHeight="1">
      <c r="A572" s="241"/>
      <c r="B572" s="502" t="s">
        <v>473</v>
      </c>
      <c r="C572" s="499"/>
      <c r="D572" s="478">
        <v>1568871</v>
      </c>
    </row>
    <row r="573" spans="1:4" ht="15" customHeight="1">
      <c r="A573" s="241"/>
      <c r="B573" s="502" t="s">
        <v>475</v>
      </c>
      <c r="C573" s="499"/>
      <c r="D573" s="478">
        <v>3441</v>
      </c>
    </row>
    <row r="574" spans="1:4" ht="15" customHeight="1">
      <c r="A574" s="241"/>
      <c r="B574" s="502" t="s">
        <v>476</v>
      </c>
      <c r="C574" s="499"/>
      <c r="D574" s="478">
        <v>4736717</v>
      </c>
    </row>
    <row r="576" spans="1:4" ht="15.75" customHeight="1">
      <c r="A576" s="501" t="s">
        <v>513</v>
      </c>
      <c r="B576" s="496"/>
      <c r="C576" s="496"/>
      <c r="D576" s="496"/>
    </row>
    <row r="577" spans="2:4" s="91" customFormat="1" ht="15" customHeight="1">
      <c r="B577" s="495" t="s">
        <v>471</v>
      </c>
      <c r="C577" s="499"/>
      <c r="D577" s="239">
        <v>63330</v>
      </c>
    </row>
    <row r="578" spans="2:4" ht="15" customHeight="1">
      <c r="B578" s="500" t="s">
        <v>476</v>
      </c>
      <c r="C578" s="496"/>
      <c r="D578" s="240">
        <v>63330</v>
      </c>
    </row>
    <row r="580" spans="1:4" ht="15.75" customHeight="1">
      <c r="A580" s="501" t="s">
        <v>514</v>
      </c>
      <c r="B580" s="496"/>
      <c r="C580" s="496"/>
      <c r="D580" s="496"/>
    </row>
    <row r="581" spans="2:4" s="91" customFormat="1" ht="15" customHeight="1">
      <c r="B581" s="495" t="s">
        <v>471</v>
      </c>
      <c r="C581" s="499"/>
      <c r="D581" s="239">
        <v>11585</v>
      </c>
    </row>
    <row r="582" spans="2:4" ht="15" customHeight="1">
      <c r="B582" s="500" t="s">
        <v>476</v>
      </c>
      <c r="C582" s="496"/>
      <c r="D582" s="240">
        <v>11585</v>
      </c>
    </row>
    <row r="584" spans="1:4" ht="15.75" customHeight="1">
      <c r="A584" s="501" t="s">
        <v>515</v>
      </c>
      <c r="B584" s="496"/>
      <c r="C584" s="496"/>
      <c r="D584" s="496"/>
    </row>
    <row r="585" spans="2:4" s="91" customFormat="1" ht="15" customHeight="1">
      <c r="B585" s="495" t="s">
        <v>471</v>
      </c>
      <c r="C585" s="499"/>
      <c r="D585" s="239">
        <v>27125</v>
      </c>
    </row>
    <row r="586" spans="2:4" ht="15" customHeight="1">
      <c r="B586" s="500" t="s">
        <v>476</v>
      </c>
      <c r="C586" s="496"/>
      <c r="D586" s="240">
        <v>27125</v>
      </c>
    </row>
    <row r="588" spans="1:4" ht="15.75" customHeight="1">
      <c r="A588" s="501" t="s">
        <v>516</v>
      </c>
      <c r="B588" s="496"/>
      <c r="C588" s="496"/>
      <c r="D588" s="496"/>
    </row>
    <row r="589" spans="2:4" s="91" customFormat="1" ht="15" customHeight="1">
      <c r="B589" s="495" t="s">
        <v>471</v>
      </c>
      <c r="C589" s="499"/>
      <c r="D589" s="239">
        <v>3728</v>
      </c>
    </row>
    <row r="590" spans="2:4" ht="15" customHeight="1">
      <c r="B590" s="500" t="s">
        <v>473</v>
      </c>
      <c r="C590" s="496"/>
      <c r="D590" s="240">
        <v>3728</v>
      </c>
    </row>
    <row r="592" spans="1:4" ht="15.75" customHeight="1">
      <c r="A592" s="501" t="s">
        <v>517</v>
      </c>
      <c r="B592" s="496"/>
      <c r="C592" s="496"/>
      <c r="D592" s="496"/>
    </row>
    <row r="593" spans="2:4" s="91" customFormat="1" ht="15" customHeight="1">
      <c r="B593" s="495" t="s">
        <v>471</v>
      </c>
      <c r="C593" s="499"/>
      <c r="D593" s="239">
        <v>2382983</v>
      </c>
    </row>
    <row r="594" spans="2:4" ht="15" customHeight="1">
      <c r="B594" s="500" t="s">
        <v>472</v>
      </c>
      <c r="C594" s="496"/>
      <c r="D594" s="240">
        <v>2132267</v>
      </c>
    </row>
    <row r="595" spans="2:4" ht="15" customHeight="1">
      <c r="B595" s="500" t="s">
        <v>473</v>
      </c>
      <c r="C595" s="496"/>
      <c r="D595" s="240">
        <v>56633</v>
      </c>
    </row>
    <row r="596" spans="2:4" ht="15" customHeight="1">
      <c r="B596" s="500" t="s">
        <v>475</v>
      </c>
      <c r="C596" s="496"/>
      <c r="D596" s="240">
        <v>1300</v>
      </c>
    </row>
    <row r="597" spans="2:4" ht="15" customHeight="1">
      <c r="B597" s="500" t="s">
        <v>476</v>
      </c>
      <c r="C597" s="496"/>
      <c r="D597" s="240">
        <v>192783</v>
      </c>
    </row>
    <row r="599" spans="1:4" ht="15.75" customHeight="1">
      <c r="A599" s="501" t="s">
        <v>654</v>
      </c>
      <c r="B599" s="496"/>
      <c r="C599" s="496"/>
      <c r="D599" s="496"/>
    </row>
    <row r="600" spans="2:4" s="91" customFormat="1" ht="15" customHeight="1">
      <c r="B600" s="495" t="s">
        <v>471</v>
      </c>
      <c r="C600" s="499"/>
      <c r="D600" s="239">
        <v>151249</v>
      </c>
    </row>
    <row r="601" spans="2:4" ht="15" customHeight="1">
      <c r="B601" s="500" t="s">
        <v>472</v>
      </c>
      <c r="C601" s="496"/>
      <c r="D601" s="240">
        <v>117906</v>
      </c>
    </row>
    <row r="602" spans="2:4" ht="15" customHeight="1">
      <c r="B602" s="500" t="s">
        <v>473</v>
      </c>
      <c r="C602" s="496"/>
      <c r="D602" s="240">
        <v>33343</v>
      </c>
    </row>
    <row r="604" spans="1:4" ht="15.75" customHeight="1">
      <c r="A604" s="501" t="s">
        <v>653</v>
      </c>
      <c r="B604" s="496"/>
      <c r="C604" s="496"/>
      <c r="D604" s="496"/>
    </row>
    <row r="605" spans="2:4" s="91" customFormat="1" ht="15" customHeight="1">
      <c r="B605" s="495" t="s">
        <v>471</v>
      </c>
      <c r="C605" s="499"/>
      <c r="D605" s="239">
        <v>132839</v>
      </c>
    </row>
    <row r="606" spans="2:4" ht="15" customHeight="1">
      <c r="B606" s="500" t="s">
        <v>472</v>
      </c>
      <c r="C606" s="496"/>
      <c r="D606" s="240">
        <v>100703</v>
      </c>
    </row>
    <row r="607" spans="2:4" ht="15" customHeight="1">
      <c r="B607" s="500" t="s">
        <v>473</v>
      </c>
      <c r="C607" s="496"/>
      <c r="D607" s="240">
        <v>32136</v>
      </c>
    </row>
    <row r="609" spans="1:4" ht="15.75" customHeight="1">
      <c r="A609" s="501" t="s">
        <v>652</v>
      </c>
      <c r="B609" s="496"/>
      <c r="C609" s="496"/>
      <c r="D609" s="496"/>
    </row>
    <row r="610" spans="2:4" s="91" customFormat="1" ht="15" customHeight="1">
      <c r="B610" s="495" t="s">
        <v>471</v>
      </c>
      <c r="C610" s="499"/>
      <c r="D610" s="239">
        <v>146982</v>
      </c>
    </row>
    <row r="611" spans="2:4" ht="15" customHeight="1">
      <c r="B611" s="500" t="s">
        <v>472</v>
      </c>
      <c r="C611" s="496"/>
      <c r="D611" s="240">
        <v>103899</v>
      </c>
    </row>
    <row r="612" spans="2:4" ht="15" customHeight="1">
      <c r="B612" s="500" t="s">
        <v>473</v>
      </c>
      <c r="C612" s="496"/>
      <c r="D612" s="240">
        <v>43083</v>
      </c>
    </row>
    <row r="614" spans="1:4" ht="15.75" customHeight="1">
      <c r="A614" s="501" t="s">
        <v>518</v>
      </c>
      <c r="B614" s="496"/>
      <c r="C614" s="496"/>
      <c r="D614" s="496"/>
    </row>
    <row r="615" spans="2:4" s="91" customFormat="1" ht="15" customHeight="1">
      <c r="B615" s="495" t="s">
        <v>471</v>
      </c>
      <c r="C615" s="499"/>
      <c r="D615" s="239">
        <v>166704</v>
      </c>
    </row>
    <row r="616" spans="2:4" ht="15" customHeight="1">
      <c r="B616" s="500" t="s">
        <v>472</v>
      </c>
      <c r="C616" s="496"/>
      <c r="D616" s="240">
        <v>134564</v>
      </c>
    </row>
    <row r="617" spans="2:4" ht="15" customHeight="1">
      <c r="B617" s="500" t="s">
        <v>473</v>
      </c>
      <c r="C617" s="496"/>
      <c r="D617" s="240">
        <v>32140</v>
      </c>
    </row>
    <row r="619" spans="1:4" ht="15.75" customHeight="1">
      <c r="A619" s="501" t="s">
        <v>519</v>
      </c>
      <c r="B619" s="496"/>
      <c r="C619" s="496"/>
      <c r="D619" s="496"/>
    </row>
    <row r="620" spans="2:4" s="91" customFormat="1" ht="15" customHeight="1">
      <c r="B620" s="495" t="s">
        <v>471</v>
      </c>
      <c r="C620" s="499"/>
      <c r="D620" s="239">
        <v>181354</v>
      </c>
    </row>
    <row r="621" spans="2:4" ht="15" customHeight="1">
      <c r="B621" s="500" t="s">
        <v>472</v>
      </c>
      <c r="C621" s="496"/>
      <c r="D621" s="240">
        <v>154698</v>
      </c>
    </row>
    <row r="622" spans="2:4" ht="15" customHeight="1">
      <c r="B622" s="500" t="s">
        <v>473</v>
      </c>
      <c r="C622" s="496"/>
      <c r="D622" s="240">
        <v>26656</v>
      </c>
    </row>
    <row r="624" spans="1:4" ht="15.75" customHeight="1">
      <c r="A624" s="501" t="s">
        <v>600</v>
      </c>
      <c r="B624" s="496"/>
      <c r="C624" s="496"/>
      <c r="D624" s="496"/>
    </row>
    <row r="625" spans="2:4" s="91" customFormat="1" ht="15" customHeight="1">
      <c r="B625" s="495" t="s">
        <v>471</v>
      </c>
      <c r="C625" s="499"/>
      <c r="D625" s="239">
        <v>145754</v>
      </c>
    </row>
    <row r="626" spans="2:4" ht="15" customHeight="1">
      <c r="B626" s="500" t="s">
        <v>472</v>
      </c>
      <c r="C626" s="496"/>
      <c r="D626" s="240">
        <v>99630</v>
      </c>
    </row>
    <row r="627" spans="2:4" ht="15" customHeight="1">
      <c r="B627" s="500" t="s">
        <v>473</v>
      </c>
      <c r="C627" s="496"/>
      <c r="D627" s="240">
        <v>46124</v>
      </c>
    </row>
    <row r="629" spans="1:4" ht="15.75" customHeight="1">
      <c r="A629" s="501" t="s">
        <v>520</v>
      </c>
      <c r="B629" s="496"/>
      <c r="C629" s="496"/>
      <c r="D629" s="496"/>
    </row>
    <row r="630" spans="2:4" s="91" customFormat="1" ht="15" customHeight="1">
      <c r="B630" s="495" t="s">
        <v>471</v>
      </c>
      <c r="C630" s="499"/>
      <c r="D630" s="239">
        <v>406660</v>
      </c>
    </row>
    <row r="631" spans="2:4" ht="15" customHeight="1">
      <c r="B631" s="500" t="s">
        <v>472</v>
      </c>
      <c r="C631" s="496"/>
      <c r="D631" s="240">
        <v>172020</v>
      </c>
    </row>
    <row r="632" spans="2:4" ht="15" customHeight="1">
      <c r="B632" s="500" t="s">
        <v>473</v>
      </c>
      <c r="C632" s="496"/>
      <c r="D632" s="240">
        <v>11398</v>
      </c>
    </row>
    <row r="633" spans="2:4" ht="15" customHeight="1">
      <c r="B633" s="500" t="s">
        <v>475</v>
      </c>
      <c r="C633" s="496"/>
      <c r="D633" s="240">
        <v>1300</v>
      </c>
    </row>
    <row r="634" spans="2:4" ht="15" customHeight="1">
      <c r="B634" s="500" t="s">
        <v>476</v>
      </c>
      <c r="C634" s="496"/>
      <c r="D634" s="240">
        <v>221942</v>
      </c>
    </row>
    <row r="636" spans="1:4" ht="15.75" customHeight="1">
      <c r="A636" s="501" t="s">
        <v>521</v>
      </c>
      <c r="B636" s="496"/>
      <c r="C636" s="496"/>
      <c r="D636" s="496"/>
    </row>
    <row r="637" spans="2:4" s="91" customFormat="1" ht="15" customHeight="1">
      <c r="B637" s="495" t="s">
        <v>471</v>
      </c>
      <c r="C637" s="499"/>
      <c r="D637" s="239">
        <v>1601690</v>
      </c>
    </row>
    <row r="638" spans="2:4" ht="15" customHeight="1">
      <c r="B638" s="500" t="s">
        <v>476</v>
      </c>
      <c r="C638" s="496"/>
      <c r="D638" s="240">
        <v>1601690</v>
      </c>
    </row>
    <row r="640" spans="1:4" ht="15.75" customHeight="1">
      <c r="A640" s="501" t="s">
        <v>522</v>
      </c>
      <c r="B640" s="496"/>
      <c r="C640" s="496"/>
      <c r="D640" s="496"/>
    </row>
    <row r="641" spans="2:4" s="91" customFormat="1" ht="15" customHeight="1">
      <c r="B641" s="495" t="s">
        <v>471</v>
      </c>
      <c r="C641" s="499"/>
      <c r="D641" s="239">
        <v>1958931</v>
      </c>
    </row>
    <row r="642" spans="2:4" ht="15" customHeight="1">
      <c r="B642" s="500" t="s">
        <v>472</v>
      </c>
      <c r="C642" s="496"/>
      <c r="D642" s="240">
        <v>13950</v>
      </c>
    </row>
    <row r="643" spans="2:4" ht="15" customHeight="1">
      <c r="B643" s="500" t="s">
        <v>473</v>
      </c>
      <c r="C643" s="496"/>
      <c r="D643" s="240">
        <v>914237</v>
      </c>
    </row>
    <row r="644" spans="2:4" ht="15" customHeight="1">
      <c r="B644" s="500" t="s">
        <v>476</v>
      </c>
      <c r="C644" s="496"/>
      <c r="D644" s="240">
        <v>1030744</v>
      </c>
    </row>
    <row r="646" spans="1:4" ht="15.75" customHeight="1">
      <c r="A646" s="501" t="s">
        <v>538</v>
      </c>
      <c r="B646" s="496"/>
      <c r="C646" s="496"/>
      <c r="D646" s="496"/>
    </row>
    <row r="647" spans="2:4" s="91" customFormat="1" ht="15" customHeight="1">
      <c r="B647" s="495" t="s">
        <v>471</v>
      </c>
      <c r="C647" s="499"/>
      <c r="D647" s="239">
        <v>1092398</v>
      </c>
    </row>
    <row r="648" spans="2:4" ht="15" customHeight="1">
      <c r="B648" s="500" t="s">
        <v>476</v>
      </c>
      <c r="C648" s="496"/>
      <c r="D648" s="240">
        <v>1092398</v>
      </c>
    </row>
    <row r="650" spans="1:4" ht="15.75" customHeight="1">
      <c r="A650" s="501" t="s">
        <v>523</v>
      </c>
      <c r="B650" s="496"/>
      <c r="C650" s="496"/>
      <c r="D650" s="496"/>
    </row>
    <row r="651" spans="2:4" s="91" customFormat="1" ht="15" customHeight="1">
      <c r="B651" s="495" t="s">
        <v>471</v>
      </c>
      <c r="C651" s="499"/>
      <c r="D651" s="239">
        <v>18831</v>
      </c>
    </row>
    <row r="652" spans="2:4" ht="15" customHeight="1">
      <c r="B652" s="500" t="s">
        <v>473</v>
      </c>
      <c r="C652" s="496"/>
      <c r="D652" s="240">
        <v>1745</v>
      </c>
    </row>
    <row r="653" spans="2:4" ht="15" customHeight="1">
      <c r="B653" s="500" t="s">
        <v>476</v>
      </c>
      <c r="C653" s="496"/>
      <c r="D653" s="240">
        <v>17086</v>
      </c>
    </row>
    <row r="655" spans="1:4" ht="31.5" customHeight="1">
      <c r="A655" s="501" t="s">
        <v>524</v>
      </c>
      <c r="B655" s="496"/>
      <c r="C655" s="496"/>
      <c r="D655" s="496"/>
    </row>
    <row r="656" spans="2:4" s="91" customFormat="1" ht="15" customHeight="1">
      <c r="B656" s="495" t="s">
        <v>471</v>
      </c>
      <c r="C656" s="499"/>
      <c r="D656" s="239">
        <v>415754</v>
      </c>
    </row>
    <row r="657" spans="2:4" ht="15" customHeight="1">
      <c r="B657" s="500" t="s">
        <v>476</v>
      </c>
      <c r="C657" s="496"/>
      <c r="D657" s="240">
        <v>415754</v>
      </c>
    </row>
    <row r="659" spans="1:4" ht="15.75" customHeight="1">
      <c r="A659" s="501" t="s">
        <v>525</v>
      </c>
      <c r="B659" s="496"/>
      <c r="C659" s="496"/>
      <c r="D659" s="496"/>
    </row>
    <row r="660" spans="2:4" s="91" customFormat="1" ht="15" customHeight="1">
      <c r="B660" s="495" t="s">
        <v>471</v>
      </c>
      <c r="C660" s="499"/>
      <c r="D660" s="239">
        <v>113482</v>
      </c>
    </row>
    <row r="661" spans="2:4" ht="15" customHeight="1">
      <c r="B661" s="500" t="s">
        <v>472</v>
      </c>
      <c r="C661" s="496"/>
      <c r="D661" s="240">
        <v>66193</v>
      </c>
    </row>
    <row r="662" spans="2:4" ht="15" customHeight="1">
      <c r="B662" s="500" t="s">
        <v>473</v>
      </c>
      <c r="C662" s="496"/>
      <c r="D662" s="240">
        <v>47289</v>
      </c>
    </row>
    <row r="664" spans="1:4" ht="15.75" customHeight="1">
      <c r="A664" s="501" t="s">
        <v>526</v>
      </c>
      <c r="B664" s="496"/>
      <c r="C664" s="496"/>
      <c r="D664" s="496"/>
    </row>
    <row r="665" spans="2:4" s="91" customFormat="1" ht="15" customHeight="1">
      <c r="B665" s="495" t="s">
        <v>471</v>
      </c>
      <c r="C665" s="499"/>
      <c r="D665" s="239">
        <v>19479</v>
      </c>
    </row>
    <row r="666" spans="2:4" ht="15" customHeight="1">
      <c r="B666" s="500" t="s">
        <v>472</v>
      </c>
      <c r="C666" s="496"/>
      <c r="D666" s="240">
        <v>12403</v>
      </c>
    </row>
    <row r="667" spans="2:4" ht="15" customHeight="1">
      <c r="B667" s="500" t="s">
        <v>473</v>
      </c>
      <c r="C667" s="496"/>
      <c r="D667" s="240">
        <v>7076</v>
      </c>
    </row>
    <row r="669" spans="1:4" ht="15.75" customHeight="1">
      <c r="A669" s="501" t="s">
        <v>527</v>
      </c>
      <c r="B669" s="496"/>
      <c r="C669" s="496"/>
      <c r="D669" s="496"/>
    </row>
    <row r="670" spans="2:4" s="91" customFormat="1" ht="15" customHeight="1">
      <c r="B670" s="495" t="s">
        <v>471</v>
      </c>
      <c r="C670" s="499"/>
      <c r="D670" s="239">
        <v>287804</v>
      </c>
    </row>
    <row r="671" spans="2:4" ht="15" customHeight="1">
      <c r="B671" s="500" t="s">
        <v>472</v>
      </c>
      <c r="C671" s="496"/>
      <c r="D671" s="240">
        <v>245170</v>
      </c>
    </row>
    <row r="672" spans="2:4" ht="15" customHeight="1">
      <c r="B672" s="500" t="s">
        <v>473</v>
      </c>
      <c r="C672" s="496"/>
      <c r="D672" s="240">
        <v>41284</v>
      </c>
    </row>
    <row r="673" spans="2:4" ht="15" customHeight="1">
      <c r="B673" s="500" t="s">
        <v>476</v>
      </c>
      <c r="C673" s="496"/>
      <c r="D673" s="240">
        <v>1350</v>
      </c>
    </row>
    <row r="675" spans="1:4" ht="15.75" customHeight="1">
      <c r="A675" s="501" t="s">
        <v>528</v>
      </c>
      <c r="B675" s="496"/>
      <c r="C675" s="496"/>
      <c r="D675" s="496"/>
    </row>
    <row r="676" spans="2:4" s="91" customFormat="1" ht="15" customHeight="1">
      <c r="B676" s="495" t="s">
        <v>471</v>
      </c>
      <c r="C676" s="499"/>
      <c r="D676" s="239">
        <v>128614</v>
      </c>
    </row>
    <row r="677" spans="2:4" ht="15" customHeight="1">
      <c r="B677" s="500" t="s">
        <v>472</v>
      </c>
      <c r="C677" s="496"/>
      <c r="D677" s="240">
        <v>107723</v>
      </c>
    </row>
    <row r="678" spans="2:4" ht="15" customHeight="1">
      <c r="B678" s="500" t="s">
        <v>473</v>
      </c>
      <c r="C678" s="496"/>
      <c r="D678" s="240">
        <v>20891</v>
      </c>
    </row>
    <row r="680" spans="1:4" ht="15.75" customHeight="1">
      <c r="A680" s="501" t="s">
        <v>651</v>
      </c>
      <c r="B680" s="496"/>
      <c r="C680" s="496"/>
      <c r="D680" s="496"/>
    </row>
    <row r="681" spans="2:4" s="91" customFormat="1" ht="15" customHeight="1">
      <c r="B681" s="495" t="s">
        <v>471</v>
      </c>
      <c r="C681" s="499"/>
      <c r="D681" s="239">
        <v>211825</v>
      </c>
    </row>
    <row r="682" spans="2:4" ht="15" customHeight="1">
      <c r="B682" s="500" t="s">
        <v>472</v>
      </c>
      <c r="C682" s="496"/>
      <c r="D682" s="240">
        <v>166005</v>
      </c>
    </row>
    <row r="683" spans="2:4" ht="15" customHeight="1">
      <c r="B683" s="500" t="s">
        <v>473</v>
      </c>
      <c r="C683" s="496"/>
      <c r="D683" s="240">
        <v>45820</v>
      </c>
    </row>
    <row r="685" spans="1:4" ht="15.75" customHeight="1">
      <c r="A685" s="501" t="s">
        <v>650</v>
      </c>
      <c r="B685" s="496"/>
      <c r="C685" s="496"/>
      <c r="D685" s="496"/>
    </row>
    <row r="686" spans="2:4" s="91" customFormat="1" ht="15" customHeight="1">
      <c r="B686" s="495" t="s">
        <v>471</v>
      </c>
      <c r="C686" s="499"/>
      <c r="D686" s="239">
        <v>2065988</v>
      </c>
    </row>
    <row r="687" spans="2:4" ht="15" customHeight="1">
      <c r="B687" s="500" t="s">
        <v>472</v>
      </c>
      <c r="C687" s="496"/>
      <c r="D687" s="240">
        <v>1859859</v>
      </c>
    </row>
    <row r="688" spans="2:4" ht="15" customHeight="1">
      <c r="B688" s="500" t="s">
        <v>473</v>
      </c>
      <c r="C688" s="496"/>
      <c r="D688" s="240">
        <v>205288</v>
      </c>
    </row>
    <row r="689" spans="2:4" ht="15" customHeight="1">
      <c r="B689" s="500" t="s">
        <v>475</v>
      </c>
      <c r="C689" s="496"/>
      <c r="D689" s="240">
        <v>841</v>
      </c>
    </row>
    <row r="691" spans="1:4" ht="15.75" customHeight="1">
      <c r="A691" s="501" t="s">
        <v>529</v>
      </c>
      <c r="B691" s="496"/>
      <c r="C691" s="496"/>
      <c r="D691" s="496"/>
    </row>
    <row r="692" spans="2:4" s="91" customFormat="1" ht="15" customHeight="1">
      <c r="B692" s="495" t="s">
        <v>471</v>
      </c>
      <c r="C692" s="499"/>
      <c r="D692" s="239">
        <v>60930</v>
      </c>
    </row>
    <row r="693" spans="2:4" ht="15" customHeight="1">
      <c r="B693" s="500" t="s">
        <v>476</v>
      </c>
      <c r="C693" s="496"/>
      <c r="D693" s="240">
        <v>60930</v>
      </c>
    </row>
    <row r="695" spans="1:4" ht="15.75" customHeight="1">
      <c r="A695" s="503" t="s">
        <v>649</v>
      </c>
      <c r="B695" s="496"/>
      <c r="C695" s="496"/>
      <c r="D695" s="496"/>
    </row>
    <row r="696" spans="1:4" ht="15" customHeight="1">
      <c r="A696" s="241"/>
      <c r="B696" s="502" t="s">
        <v>471</v>
      </c>
      <c r="C696" s="499"/>
      <c r="D696" s="478">
        <f>5064739-20357</f>
        <v>5044382</v>
      </c>
    </row>
    <row r="697" spans="1:4" ht="30" customHeight="1" hidden="1">
      <c r="A697" s="241"/>
      <c r="B697" s="502" t="s">
        <v>477</v>
      </c>
      <c r="C697" s="499"/>
      <c r="D697" s="478">
        <v>0</v>
      </c>
    </row>
    <row r="698" spans="1:4" ht="15" customHeight="1">
      <c r="A698" s="241"/>
      <c r="B698" s="502" t="s">
        <v>530</v>
      </c>
      <c r="C698" s="499"/>
      <c r="D698" s="478">
        <v>4495164</v>
      </c>
    </row>
    <row r="699" spans="1:4" ht="15" customHeight="1">
      <c r="A699" s="241"/>
      <c r="B699" s="502" t="s">
        <v>531</v>
      </c>
      <c r="C699" s="499"/>
      <c r="D699" s="478">
        <v>389575</v>
      </c>
    </row>
    <row r="700" spans="1:4" ht="15" customHeight="1">
      <c r="A700" s="241"/>
      <c r="B700" s="502" t="s">
        <v>532</v>
      </c>
      <c r="C700" s="499"/>
      <c r="D700" s="478">
        <f>180000-20357</f>
        <v>159643</v>
      </c>
    </row>
    <row r="702" spans="1:4" ht="15.75" customHeight="1">
      <c r="A702" s="501" t="s">
        <v>533</v>
      </c>
      <c r="B702" s="496"/>
      <c r="C702" s="496"/>
      <c r="D702" s="496"/>
    </row>
    <row r="703" spans="2:4" s="91" customFormat="1" ht="15" customHeight="1">
      <c r="B703" s="495" t="s">
        <v>471</v>
      </c>
      <c r="C703" s="499"/>
      <c r="D703" s="239">
        <v>4495164</v>
      </c>
    </row>
    <row r="704" spans="2:4" ht="15" customHeight="1">
      <c r="B704" s="500" t="s">
        <v>530</v>
      </c>
      <c r="C704" s="496"/>
      <c r="D704" s="240">
        <v>4495164</v>
      </c>
    </row>
    <row r="706" spans="1:4" ht="15.75" customHeight="1">
      <c r="A706" s="501" t="s">
        <v>534</v>
      </c>
      <c r="B706" s="496"/>
      <c r="C706" s="496"/>
      <c r="D706" s="496"/>
    </row>
    <row r="707" spans="2:4" s="91" customFormat="1" ht="15" customHeight="1">
      <c r="B707" s="495" t="s">
        <v>471</v>
      </c>
      <c r="C707" s="499"/>
      <c r="D707" s="239">
        <v>389575</v>
      </c>
    </row>
    <row r="708" spans="2:4" ht="15" customHeight="1">
      <c r="B708" s="500" t="s">
        <v>531</v>
      </c>
      <c r="C708" s="496"/>
      <c r="D708" s="240">
        <v>389575</v>
      </c>
    </row>
    <row r="710" spans="1:4" ht="15.75" customHeight="1">
      <c r="A710" s="501" t="s">
        <v>418</v>
      </c>
      <c r="B710" s="496"/>
      <c r="C710" s="496"/>
      <c r="D710" s="496"/>
    </row>
    <row r="711" spans="1:4" ht="14.25" customHeight="1">
      <c r="A711" s="91"/>
      <c r="B711" s="495" t="s">
        <v>471</v>
      </c>
      <c r="C711" s="496"/>
      <c r="D711" s="239">
        <f>120289196-263727-9814+71000</f>
        <v>120086655</v>
      </c>
    </row>
    <row r="712" spans="1:4" ht="14.25" customHeight="1">
      <c r="A712" s="91"/>
      <c r="B712" s="495" t="s">
        <v>472</v>
      </c>
      <c r="C712" s="496"/>
      <c r="D712" s="239">
        <f>58169258+20357</f>
        <v>58189615</v>
      </c>
    </row>
    <row r="713" spans="1:4" ht="14.25" customHeight="1">
      <c r="A713" s="91"/>
      <c r="B713" s="495" t="s">
        <v>473</v>
      </c>
      <c r="C713" s="496"/>
      <c r="D713" s="239">
        <f>21370622+71000</f>
        <v>21441622</v>
      </c>
    </row>
    <row r="714" spans="1:4" ht="14.25" customHeight="1">
      <c r="A714" s="91"/>
      <c r="B714" s="495" t="s">
        <v>474</v>
      </c>
      <c r="C714" s="496"/>
      <c r="D714" s="239">
        <v>7543563</v>
      </c>
    </row>
    <row r="715" spans="1:4" ht="14.25" customHeight="1">
      <c r="A715" s="91"/>
      <c r="B715" s="495" t="s">
        <v>486</v>
      </c>
      <c r="C715" s="496"/>
      <c r="D715" s="239">
        <v>4840038</v>
      </c>
    </row>
    <row r="716" spans="1:4" ht="14.25" customHeight="1">
      <c r="A716" s="91"/>
      <c r="B716" s="495" t="s">
        <v>475</v>
      </c>
      <c r="C716" s="496"/>
      <c r="D716" s="239">
        <f>16575335-9814-263727</f>
        <v>16301794</v>
      </c>
    </row>
    <row r="717" spans="1:4" ht="14.25" customHeight="1">
      <c r="A717" s="91"/>
      <c r="B717" s="495" t="s">
        <v>476</v>
      </c>
      <c r="C717" s="496"/>
      <c r="D717" s="239">
        <v>5490592</v>
      </c>
    </row>
    <row r="718" spans="1:4" ht="28.5" customHeight="1">
      <c r="A718" s="91"/>
      <c r="B718" s="495" t="s">
        <v>477</v>
      </c>
      <c r="C718" s="496"/>
      <c r="D718" s="239">
        <v>1235049</v>
      </c>
    </row>
    <row r="719" spans="1:4" ht="14.25" customHeight="1">
      <c r="A719" s="91"/>
      <c r="B719" s="495" t="s">
        <v>530</v>
      </c>
      <c r="C719" s="496"/>
      <c r="D719" s="239">
        <v>4495164</v>
      </c>
    </row>
    <row r="720" spans="1:4" ht="14.25" customHeight="1">
      <c r="A720" s="91"/>
      <c r="B720" s="495" t="s">
        <v>531</v>
      </c>
      <c r="C720" s="496"/>
      <c r="D720" s="239">
        <v>389575</v>
      </c>
    </row>
    <row r="721" spans="1:4" ht="14.25" customHeight="1">
      <c r="A721" s="91"/>
      <c r="B721" s="495" t="s">
        <v>532</v>
      </c>
      <c r="C721" s="496"/>
      <c r="D721" s="239">
        <f>180000-20357</f>
        <v>159643</v>
      </c>
    </row>
    <row r="722" ht="12.75">
      <c r="D722" s="238"/>
    </row>
    <row r="724" spans="1:4" ht="12.75">
      <c r="A724" s="669" t="s">
        <v>1061</v>
      </c>
      <c r="B724" s="669"/>
      <c r="C724" s="669"/>
      <c r="D724" s="669"/>
    </row>
    <row r="726" spans="1:4" ht="18.75">
      <c r="A726" s="92"/>
      <c r="B726" s="92"/>
      <c r="C726" s="191"/>
      <c r="D726" s="192"/>
    </row>
  </sheetData>
  <sheetProtection/>
  <mergeCells count="587">
    <mergeCell ref="A724:D724"/>
    <mergeCell ref="B9:C9"/>
    <mergeCell ref="B10:C10"/>
    <mergeCell ref="B11:C11"/>
    <mergeCell ref="C3:D3"/>
    <mergeCell ref="C4:D4"/>
    <mergeCell ref="A7:C7"/>
    <mergeCell ref="A8:D8"/>
    <mergeCell ref="B15:C15"/>
    <mergeCell ref="A17:D17"/>
    <mergeCell ref="B18:C18"/>
    <mergeCell ref="B19:C19"/>
    <mergeCell ref="B12:C12"/>
    <mergeCell ref="B13:C13"/>
    <mergeCell ref="B14:C14"/>
    <mergeCell ref="A24:D24"/>
    <mergeCell ref="B25:C25"/>
    <mergeCell ref="B26:C26"/>
    <mergeCell ref="A28:D28"/>
    <mergeCell ref="B20:C20"/>
    <mergeCell ref="B21:C21"/>
    <mergeCell ref="B22:C22"/>
    <mergeCell ref="B34:C34"/>
    <mergeCell ref="A36:D36"/>
    <mergeCell ref="B37:C37"/>
    <mergeCell ref="B38:C38"/>
    <mergeCell ref="B29:C29"/>
    <mergeCell ref="B30:C30"/>
    <mergeCell ref="A32:D32"/>
    <mergeCell ref="B33:C33"/>
    <mergeCell ref="B45:C45"/>
    <mergeCell ref="B46:C46"/>
    <mergeCell ref="B47:C47"/>
    <mergeCell ref="A40:D40"/>
    <mergeCell ref="B41:C41"/>
    <mergeCell ref="B42:C42"/>
    <mergeCell ref="A44:D44"/>
    <mergeCell ref="B53:C53"/>
    <mergeCell ref="A55:D55"/>
    <mergeCell ref="B56:C56"/>
    <mergeCell ref="B57:C57"/>
    <mergeCell ref="A49:D49"/>
    <mergeCell ref="B50:C50"/>
    <mergeCell ref="B51:C51"/>
    <mergeCell ref="B52:C52"/>
    <mergeCell ref="A64:D64"/>
    <mergeCell ref="B65:C65"/>
    <mergeCell ref="B66:C66"/>
    <mergeCell ref="B67:C67"/>
    <mergeCell ref="A59:D59"/>
    <mergeCell ref="B60:C60"/>
    <mergeCell ref="B61:C61"/>
    <mergeCell ref="B62:C62"/>
    <mergeCell ref="B73:C73"/>
    <mergeCell ref="B74:C74"/>
    <mergeCell ref="A76:D76"/>
    <mergeCell ref="B77:C77"/>
    <mergeCell ref="B68:C68"/>
    <mergeCell ref="A70:D70"/>
    <mergeCell ref="B71:C71"/>
    <mergeCell ref="B72:C72"/>
    <mergeCell ref="A84:D84"/>
    <mergeCell ref="B85:C85"/>
    <mergeCell ref="B86:C86"/>
    <mergeCell ref="B87:C87"/>
    <mergeCell ref="B78:C78"/>
    <mergeCell ref="A80:D80"/>
    <mergeCell ref="B81:C81"/>
    <mergeCell ref="B82:C82"/>
    <mergeCell ref="B93:C93"/>
    <mergeCell ref="B94:C94"/>
    <mergeCell ref="A96:D96"/>
    <mergeCell ref="B97:C97"/>
    <mergeCell ref="B88:C88"/>
    <mergeCell ref="B89:C89"/>
    <mergeCell ref="A91:D91"/>
    <mergeCell ref="B92:C92"/>
    <mergeCell ref="A104:D104"/>
    <mergeCell ref="B105:C105"/>
    <mergeCell ref="B106:C106"/>
    <mergeCell ref="A108:D108"/>
    <mergeCell ref="B98:C98"/>
    <mergeCell ref="A100:D100"/>
    <mergeCell ref="B101:C101"/>
    <mergeCell ref="B102:C102"/>
    <mergeCell ref="B112:C112"/>
    <mergeCell ref="A114:D114"/>
    <mergeCell ref="B115:C115"/>
    <mergeCell ref="B116:C116"/>
    <mergeCell ref="B109:C109"/>
    <mergeCell ref="B110:C110"/>
    <mergeCell ref="B111:C111"/>
    <mergeCell ref="B122:C122"/>
    <mergeCell ref="B123:C123"/>
    <mergeCell ref="B124:C124"/>
    <mergeCell ref="B117:C117"/>
    <mergeCell ref="B118:C118"/>
    <mergeCell ref="A120:D120"/>
    <mergeCell ref="B121:C121"/>
    <mergeCell ref="A131:D131"/>
    <mergeCell ref="B132:C132"/>
    <mergeCell ref="B133:C133"/>
    <mergeCell ref="B134:C134"/>
    <mergeCell ref="B125:C125"/>
    <mergeCell ref="A127:D127"/>
    <mergeCell ref="B128:C128"/>
    <mergeCell ref="B129:C129"/>
    <mergeCell ref="B141:C141"/>
    <mergeCell ref="B142:C142"/>
    <mergeCell ref="A144:D144"/>
    <mergeCell ref="B145:C145"/>
    <mergeCell ref="A136:D136"/>
    <mergeCell ref="B137:C137"/>
    <mergeCell ref="B138:C138"/>
    <mergeCell ref="A140:D140"/>
    <mergeCell ref="A152:D152"/>
    <mergeCell ref="B153:C153"/>
    <mergeCell ref="B154:C154"/>
    <mergeCell ref="A156:D156"/>
    <mergeCell ref="B146:C146"/>
    <mergeCell ref="A148:D148"/>
    <mergeCell ref="B149:C149"/>
    <mergeCell ref="B150:C150"/>
    <mergeCell ref="B162:C162"/>
    <mergeCell ref="A164:D164"/>
    <mergeCell ref="B165:C165"/>
    <mergeCell ref="B166:C166"/>
    <mergeCell ref="B157:C157"/>
    <mergeCell ref="B158:C158"/>
    <mergeCell ref="A160:D160"/>
    <mergeCell ref="B161:C161"/>
    <mergeCell ref="B173:C173"/>
    <mergeCell ref="B174:C174"/>
    <mergeCell ref="A176:D176"/>
    <mergeCell ref="B177:C177"/>
    <mergeCell ref="A168:D168"/>
    <mergeCell ref="B169:C169"/>
    <mergeCell ref="B170:C170"/>
    <mergeCell ref="A172:D172"/>
    <mergeCell ref="B183:C183"/>
    <mergeCell ref="B184:C184"/>
    <mergeCell ref="A186:D186"/>
    <mergeCell ref="B187:C187"/>
    <mergeCell ref="B178:C178"/>
    <mergeCell ref="B179:C179"/>
    <mergeCell ref="A181:D181"/>
    <mergeCell ref="B182:C182"/>
    <mergeCell ref="B191:C191"/>
    <mergeCell ref="A193:D193"/>
    <mergeCell ref="B194:C194"/>
    <mergeCell ref="B195:C195"/>
    <mergeCell ref="B188:C188"/>
    <mergeCell ref="B189:C189"/>
    <mergeCell ref="B190:C190"/>
    <mergeCell ref="A200:D200"/>
    <mergeCell ref="B201:C201"/>
    <mergeCell ref="B202:C202"/>
    <mergeCell ref="B203:C203"/>
    <mergeCell ref="B196:C196"/>
    <mergeCell ref="B197:C197"/>
    <mergeCell ref="B198:C198"/>
    <mergeCell ref="B209:C209"/>
    <mergeCell ref="A211:D211"/>
    <mergeCell ref="B212:C212"/>
    <mergeCell ref="B213:C213"/>
    <mergeCell ref="B204:C204"/>
    <mergeCell ref="A206:D206"/>
    <mergeCell ref="B207:C207"/>
    <mergeCell ref="B208:C208"/>
    <mergeCell ref="B219:C219"/>
    <mergeCell ref="A221:D221"/>
    <mergeCell ref="B222:C222"/>
    <mergeCell ref="B223:C223"/>
    <mergeCell ref="B214:C214"/>
    <mergeCell ref="A216:D216"/>
    <mergeCell ref="B217:C217"/>
    <mergeCell ref="B218:C218"/>
    <mergeCell ref="B229:C229"/>
    <mergeCell ref="A231:D231"/>
    <mergeCell ref="B232:C232"/>
    <mergeCell ref="B233:C233"/>
    <mergeCell ref="B224:C224"/>
    <mergeCell ref="A226:D226"/>
    <mergeCell ref="B227:C227"/>
    <mergeCell ref="B228:C228"/>
    <mergeCell ref="B239:C239"/>
    <mergeCell ref="B240:C240"/>
    <mergeCell ref="A242:D242"/>
    <mergeCell ref="B243:C243"/>
    <mergeCell ref="B234:C234"/>
    <mergeCell ref="B235:C235"/>
    <mergeCell ref="A237:D237"/>
    <mergeCell ref="B238:C238"/>
    <mergeCell ref="B249:C249"/>
    <mergeCell ref="B250:C250"/>
    <mergeCell ref="B251:C251"/>
    <mergeCell ref="B244:C244"/>
    <mergeCell ref="B245:C245"/>
    <mergeCell ref="A247:D247"/>
    <mergeCell ref="B248:C248"/>
    <mergeCell ref="A255:D255"/>
    <mergeCell ref="B256:C256"/>
    <mergeCell ref="B257:C257"/>
    <mergeCell ref="B258:C258"/>
    <mergeCell ref="B252:C252"/>
    <mergeCell ref="B253:C253"/>
    <mergeCell ref="A265:D265"/>
    <mergeCell ref="B266:C266"/>
    <mergeCell ref="B267:C267"/>
    <mergeCell ref="A269:D269"/>
    <mergeCell ref="B259:C259"/>
    <mergeCell ref="A261:D261"/>
    <mergeCell ref="B262:C262"/>
    <mergeCell ref="B263:C263"/>
    <mergeCell ref="B275:C275"/>
    <mergeCell ref="A277:D277"/>
    <mergeCell ref="B278:C278"/>
    <mergeCell ref="B279:C279"/>
    <mergeCell ref="B270:C270"/>
    <mergeCell ref="B271:C271"/>
    <mergeCell ref="A273:D273"/>
    <mergeCell ref="B274:C274"/>
    <mergeCell ref="B286:C286"/>
    <mergeCell ref="B287:C287"/>
    <mergeCell ref="B288:C288"/>
    <mergeCell ref="A281:D281"/>
    <mergeCell ref="B282:C282"/>
    <mergeCell ref="B283:C283"/>
    <mergeCell ref="A285:D285"/>
    <mergeCell ref="B295:C295"/>
    <mergeCell ref="B296:C296"/>
    <mergeCell ref="B297:C297"/>
    <mergeCell ref="A290:D290"/>
    <mergeCell ref="B291:C291"/>
    <mergeCell ref="B292:C292"/>
    <mergeCell ref="A294:D294"/>
    <mergeCell ref="B303:C303"/>
    <mergeCell ref="B304:C304"/>
    <mergeCell ref="B305:C305"/>
    <mergeCell ref="B298:C298"/>
    <mergeCell ref="A300:D300"/>
    <mergeCell ref="B301:C301"/>
    <mergeCell ref="B302:C302"/>
    <mergeCell ref="B311:C311"/>
    <mergeCell ref="A313:D313"/>
    <mergeCell ref="B314:C314"/>
    <mergeCell ref="A307:D307"/>
    <mergeCell ref="B308:C308"/>
    <mergeCell ref="B309:C309"/>
    <mergeCell ref="B310:C310"/>
    <mergeCell ref="B318:C318"/>
    <mergeCell ref="B319:C319"/>
    <mergeCell ref="A321:D321"/>
    <mergeCell ref="B322:C322"/>
    <mergeCell ref="B315:C315"/>
    <mergeCell ref="B316:C316"/>
    <mergeCell ref="B317:C317"/>
    <mergeCell ref="A327:D327"/>
    <mergeCell ref="B328:C328"/>
    <mergeCell ref="B329:C329"/>
    <mergeCell ref="B330:C330"/>
    <mergeCell ref="B323:C323"/>
    <mergeCell ref="B324:C324"/>
    <mergeCell ref="B325:C325"/>
    <mergeCell ref="B336:C336"/>
    <mergeCell ref="B337:C337"/>
    <mergeCell ref="A339:D339"/>
    <mergeCell ref="B340:C340"/>
    <mergeCell ref="B331:C331"/>
    <mergeCell ref="A333:D333"/>
    <mergeCell ref="B334:C334"/>
    <mergeCell ref="B335:C335"/>
    <mergeCell ref="A345:D345"/>
    <mergeCell ref="B346:C346"/>
    <mergeCell ref="B347:C347"/>
    <mergeCell ref="B348:C348"/>
    <mergeCell ref="B341:C341"/>
    <mergeCell ref="B342:C342"/>
    <mergeCell ref="B343:C343"/>
    <mergeCell ref="A355:D355"/>
    <mergeCell ref="B356:C356"/>
    <mergeCell ref="B357:C357"/>
    <mergeCell ref="B358:C358"/>
    <mergeCell ref="A350:D350"/>
    <mergeCell ref="B351:C351"/>
    <mergeCell ref="B352:C352"/>
    <mergeCell ref="B353:C353"/>
    <mergeCell ref="B364:C364"/>
    <mergeCell ref="B365:C365"/>
    <mergeCell ref="A367:D367"/>
    <mergeCell ref="B368:C368"/>
    <mergeCell ref="B359:C359"/>
    <mergeCell ref="A361:D361"/>
    <mergeCell ref="B362:C362"/>
    <mergeCell ref="B363:C363"/>
    <mergeCell ref="B374:C374"/>
    <mergeCell ref="B375:C375"/>
    <mergeCell ref="A377:D377"/>
    <mergeCell ref="B378:C378"/>
    <mergeCell ref="B369:C369"/>
    <mergeCell ref="B370:C370"/>
    <mergeCell ref="A372:D372"/>
    <mergeCell ref="B373:C373"/>
    <mergeCell ref="B382:C382"/>
    <mergeCell ref="B383:C383"/>
    <mergeCell ref="B384:C384"/>
    <mergeCell ref="B379:C379"/>
    <mergeCell ref="B380:C380"/>
    <mergeCell ref="B381:C381"/>
    <mergeCell ref="A391:D391"/>
    <mergeCell ref="B392:C392"/>
    <mergeCell ref="B393:C393"/>
    <mergeCell ref="B394:C394"/>
    <mergeCell ref="A386:D386"/>
    <mergeCell ref="B387:C387"/>
    <mergeCell ref="B388:C388"/>
    <mergeCell ref="B389:C389"/>
    <mergeCell ref="B400:C400"/>
    <mergeCell ref="B401:C401"/>
    <mergeCell ref="A403:D403"/>
    <mergeCell ref="B404:C404"/>
    <mergeCell ref="B395:C395"/>
    <mergeCell ref="B396:C396"/>
    <mergeCell ref="A398:D398"/>
    <mergeCell ref="B399:C399"/>
    <mergeCell ref="B410:C410"/>
    <mergeCell ref="B411:C411"/>
    <mergeCell ref="B412:C412"/>
    <mergeCell ref="B405:C405"/>
    <mergeCell ref="B406:C406"/>
    <mergeCell ref="A408:D408"/>
    <mergeCell ref="B409:C409"/>
    <mergeCell ref="B418:C418"/>
    <mergeCell ref="B419:C419"/>
    <mergeCell ref="B420:C420"/>
    <mergeCell ref="A414:D414"/>
    <mergeCell ref="B415:C415"/>
    <mergeCell ref="B416:C416"/>
    <mergeCell ref="B417:C417"/>
    <mergeCell ref="B426:C426"/>
    <mergeCell ref="A428:D428"/>
    <mergeCell ref="B429:C429"/>
    <mergeCell ref="B430:C430"/>
    <mergeCell ref="A422:D422"/>
    <mergeCell ref="B423:C423"/>
    <mergeCell ref="B424:C424"/>
    <mergeCell ref="B425:C425"/>
    <mergeCell ref="B436:C436"/>
    <mergeCell ref="B437:C437"/>
    <mergeCell ref="B438:C438"/>
    <mergeCell ref="B431:C431"/>
    <mergeCell ref="B432:C432"/>
    <mergeCell ref="A434:D434"/>
    <mergeCell ref="B435:C435"/>
    <mergeCell ref="B444:C444"/>
    <mergeCell ref="B445:C445"/>
    <mergeCell ref="B446:C446"/>
    <mergeCell ref="B439:C439"/>
    <mergeCell ref="B440:C440"/>
    <mergeCell ref="A442:D442"/>
    <mergeCell ref="B443:C443"/>
    <mergeCell ref="B452:C452"/>
    <mergeCell ref="B453:C453"/>
    <mergeCell ref="A455:D455"/>
    <mergeCell ref="B456:C456"/>
    <mergeCell ref="B447:C447"/>
    <mergeCell ref="B448:C448"/>
    <mergeCell ref="A450:D450"/>
    <mergeCell ref="B451:C451"/>
    <mergeCell ref="B460:C460"/>
    <mergeCell ref="B461:C461"/>
    <mergeCell ref="B462:C462"/>
    <mergeCell ref="B457:C457"/>
    <mergeCell ref="B458:C458"/>
    <mergeCell ref="B459:C459"/>
    <mergeCell ref="B470:C470"/>
    <mergeCell ref="B471:C471"/>
    <mergeCell ref="B472:C472"/>
    <mergeCell ref="A465:D465"/>
    <mergeCell ref="B466:C466"/>
    <mergeCell ref="B467:C467"/>
    <mergeCell ref="A469:D469"/>
    <mergeCell ref="B478:C478"/>
    <mergeCell ref="A480:D480"/>
    <mergeCell ref="B481:C481"/>
    <mergeCell ref="B482:C482"/>
    <mergeCell ref="B473:C473"/>
    <mergeCell ref="B474:C474"/>
    <mergeCell ref="A476:D476"/>
    <mergeCell ref="B477:C477"/>
    <mergeCell ref="B486:C486"/>
    <mergeCell ref="A488:D488"/>
    <mergeCell ref="B489:C489"/>
    <mergeCell ref="B490:C490"/>
    <mergeCell ref="B483:C483"/>
    <mergeCell ref="B484:C484"/>
    <mergeCell ref="B485:C485"/>
    <mergeCell ref="B496:C496"/>
    <mergeCell ref="B497:C497"/>
    <mergeCell ref="B498:C498"/>
    <mergeCell ref="B491:C491"/>
    <mergeCell ref="B492:C492"/>
    <mergeCell ref="A494:D494"/>
    <mergeCell ref="B495:C495"/>
    <mergeCell ref="B505:C505"/>
    <mergeCell ref="B506:C506"/>
    <mergeCell ref="B507:C507"/>
    <mergeCell ref="A500:D500"/>
    <mergeCell ref="B501:C501"/>
    <mergeCell ref="B502:C502"/>
    <mergeCell ref="A504:D504"/>
    <mergeCell ref="B513:C513"/>
    <mergeCell ref="B514:C514"/>
    <mergeCell ref="A516:D516"/>
    <mergeCell ref="B517:C517"/>
    <mergeCell ref="B508:C508"/>
    <mergeCell ref="B509:C509"/>
    <mergeCell ref="A511:D511"/>
    <mergeCell ref="B512:C512"/>
    <mergeCell ref="A522:D522"/>
    <mergeCell ref="B523:C523"/>
    <mergeCell ref="B524:C524"/>
    <mergeCell ref="B525:C525"/>
    <mergeCell ref="B518:C518"/>
    <mergeCell ref="B519:C519"/>
    <mergeCell ref="B520:C520"/>
    <mergeCell ref="A532:D532"/>
    <mergeCell ref="B533:C533"/>
    <mergeCell ref="B534:C534"/>
    <mergeCell ref="B535:C535"/>
    <mergeCell ref="B526:C526"/>
    <mergeCell ref="A528:D528"/>
    <mergeCell ref="B529:C529"/>
    <mergeCell ref="B530:C530"/>
    <mergeCell ref="B542:C542"/>
    <mergeCell ref="B543:C543"/>
    <mergeCell ref="B544:C544"/>
    <mergeCell ref="A537:D537"/>
    <mergeCell ref="B538:C538"/>
    <mergeCell ref="B539:C539"/>
    <mergeCell ref="A541:D541"/>
    <mergeCell ref="B550:C550"/>
    <mergeCell ref="B551:C551"/>
    <mergeCell ref="A553:D553"/>
    <mergeCell ref="B554:C554"/>
    <mergeCell ref="A546:D546"/>
    <mergeCell ref="B547:C547"/>
    <mergeCell ref="B548:C548"/>
    <mergeCell ref="B549:C549"/>
    <mergeCell ref="B560:C560"/>
    <mergeCell ref="B561:C561"/>
    <mergeCell ref="A563:D563"/>
    <mergeCell ref="B564:C564"/>
    <mergeCell ref="B555:C555"/>
    <mergeCell ref="A557:D557"/>
    <mergeCell ref="B558:C558"/>
    <mergeCell ref="B559:C559"/>
    <mergeCell ref="A569:D569"/>
    <mergeCell ref="B570:C570"/>
    <mergeCell ref="B571:C571"/>
    <mergeCell ref="B572:C572"/>
    <mergeCell ref="B565:C565"/>
    <mergeCell ref="B566:C566"/>
    <mergeCell ref="B567:C567"/>
    <mergeCell ref="B578:C578"/>
    <mergeCell ref="A580:D580"/>
    <mergeCell ref="B581:C581"/>
    <mergeCell ref="B582:C582"/>
    <mergeCell ref="B573:C573"/>
    <mergeCell ref="B574:C574"/>
    <mergeCell ref="A576:D576"/>
    <mergeCell ref="B577:C577"/>
    <mergeCell ref="B589:C589"/>
    <mergeCell ref="B590:C590"/>
    <mergeCell ref="A592:D592"/>
    <mergeCell ref="B593:C593"/>
    <mergeCell ref="A584:D584"/>
    <mergeCell ref="B585:C585"/>
    <mergeCell ref="B586:C586"/>
    <mergeCell ref="A588:D588"/>
    <mergeCell ref="B597:C597"/>
    <mergeCell ref="A599:D599"/>
    <mergeCell ref="B600:C600"/>
    <mergeCell ref="B601:C601"/>
    <mergeCell ref="B594:C594"/>
    <mergeCell ref="B595:C595"/>
    <mergeCell ref="B596:C596"/>
    <mergeCell ref="B607:C607"/>
    <mergeCell ref="A609:D609"/>
    <mergeCell ref="B610:C610"/>
    <mergeCell ref="B611:C611"/>
    <mergeCell ref="B602:C602"/>
    <mergeCell ref="A604:D604"/>
    <mergeCell ref="B605:C605"/>
    <mergeCell ref="B606:C606"/>
    <mergeCell ref="B617:C617"/>
    <mergeCell ref="A619:D619"/>
    <mergeCell ref="B620:C620"/>
    <mergeCell ref="B621:C621"/>
    <mergeCell ref="B612:C612"/>
    <mergeCell ref="A614:D614"/>
    <mergeCell ref="B615:C615"/>
    <mergeCell ref="B616:C616"/>
    <mergeCell ref="B627:C627"/>
    <mergeCell ref="A629:D629"/>
    <mergeCell ref="B630:C630"/>
    <mergeCell ref="B631:C631"/>
    <mergeCell ref="B622:C622"/>
    <mergeCell ref="A624:D624"/>
    <mergeCell ref="B625:C625"/>
    <mergeCell ref="B626:C626"/>
    <mergeCell ref="A636:D636"/>
    <mergeCell ref="B637:C637"/>
    <mergeCell ref="B638:C638"/>
    <mergeCell ref="A640:D640"/>
    <mergeCell ref="B632:C632"/>
    <mergeCell ref="B633:C633"/>
    <mergeCell ref="B634:C634"/>
    <mergeCell ref="B644:C644"/>
    <mergeCell ref="A646:D646"/>
    <mergeCell ref="B647:C647"/>
    <mergeCell ref="B648:C648"/>
    <mergeCell ref="B641:C641"/>
    <mergeCell ref="B642:C642"/>
    <mergeCell ref="B643:C643"/>
    <mergeCell ref="A655:D655"/>
    <mergeCell ref="B656:C656"/>
    <mergeCell ref="B657:C657"/>
    <mergeCell ref="A659:D659"/>
    <mergeCell ref="A650:D650"/>
    <mergeCell ref="B651:C651"/>
    <mergeCell ref="B652:C652"/>
    <mergeCell ref="B653:C653"/>
    <mergeCell ref="A664:D664"/>
    <mergeCell ref="B665:C665"/>
    <mergeCell ref="B666:C666"/>
    <mergeCell ref="B667:C667"/>
    <mergeCell ref="B660:C660"/>
    <mergeCell ref="B661:C661"/>
    <mergeCell ref="B662:C662"/>
    <mergeCell ref="B673:C673"/>
    <mergeCell ref="A675:D675"/>
    <mergeCell ref="B676:C676"/>
    <mergeCell ref="B677:C677"/>
    <mergeCell ref="A669:D669"/>
    <mergeCell ref="B670:C670"/>
    <mergeCell ref="B671:C671"/>
    <mergeCell ref="B672:C672"/>
    <mergeCell ref="B683:C683"/>
    <mergeCell ref="A685:D685"/>
    <mergeCell ref="B686:C686"/>
    <mergeCell ref="B687:C687"/>
    <mergeCell ref="B678:C678"/>
    <mergeCell ref="A680:D680"/>
    <mergeCell ref="B681:C681"/>
    <mergeCell ref="B682:C682"/>
    <mergeCell ref="B693:C693"/>
    <mergeCell ref="A695:D695"/>
    <mergeCell ref="B696:C696"/>
    <mergeCell ref="B697:C697"/>
    <mergeCell ref="B688:C688"/>
    <mergeCell ref="B689:C689"/>
    <mergeCell ref="A691:D691"/>
    <mergeCell ref="B692:C692"/>
    <mergeCell ref="A702:D702"/>
    <mergeCell ref="B703:C703"/>
    <mergeCell ref="B704:C704"/>
    <mergeCell ref="A706:D706"/>
    <mergeCell ref="B698:C698"/>
    <mergeCell ref="B699:C699"/>
    <mergeCell ref="B700:C700"/>
    <mergeCell ref="B713:C713"/>
    <mergeCell ref="B714:C714"/>
    <mergeCell ref="B707:C707"/>
    <mergeCell ref="B708:C708"/>
    <mergeCell ref="A710:D710"/>
    <mergeCell ref="B711:C711"/>
    <mergeCell ref="C2:D2"/>
    <mergeCell ref="B721:C721"/>
    <mergeCell ref="A6:D6"/>
    <mergeCell ref="B718:C718"/>
    <mergeCell ref="B719:C719"/>
    <mergeCell ref="B720:C720"/>
    <mergeCell ref="B715:C715"/>
    <mergeCell ref="B716:C716"/>
    <mergeCell ref="B717:C717"/>
    <mergeCell ref="B712:C712"/>
  </mergeCells>
  <printOptions/>
  <pageMargins left="0.7874015748031497" right="0.7874015748031497" top="0.3937007874015748" bottom="0.3937007874015748" header="0.1968503937007874" footer="0.1968503937007874"/>
  <pageSetup fitToHeight="0" fitToWidth="1" horizontalDpi="600" verticalDpi="600" orientation="portrait" pageOrder="overThenDown" paperSize="9" scale="96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268"/>
  <sheetViews>
    <sheetView zoomScalePageLayoutView="0" workbookViewId="0" topLeftCell="H1">
      <selection activeCell="V268" sqref="V267:V268"/>
    </sheetView>
  </sheetViews>
  <sheetFormatPr defaultColWidth="9.140625" defaultRowHeight="13.5" customHeight="1"/>
  <cols>
    <col min="1" max="1" width="4.140625" style="266" customWidth="1"/>
    <col min="2" max="2" width="10.140625" style="265" customWidth="1"/>
    <col min="3" max="3" width="42.140625" style="264" customWidth="1"/>
    <col min="4" max="4" width="5.7109375" style="263" customWidth="1"/>
    <col min="5" max="5" width="13.8515625" style="263" customWidth="1"/>
    <col min="6" max="6" width="10.421875" style="262" customWidth="1"/>
    <col min="7" max="7" width="11.421875" style="262" customWidth="1"/>
    <col min="8" max="9" width="11.140625" style="262" customWidth="1"/>
    <col min="10" max="11" width="10.8515625" style="262" customWidth="1"/>
    <col min="12" max="12" width="11.00390625" style="262" customWidth="1"/>
    <col min="13" max="13" width="12.28125" style="262" customWidth="1"/>
    <col min="14" max="17" width="11.140625" style="262" customWidth="1"/>
    <col min="18" max="23" width="11.7109375" style="262" customWidth="1"/>
    <col min="24" max="24" width="13.140625" style="262" customWidth="1"/>
    <col min="25" max="25" width="9.140625" style="98" customWidth="1"/>
    <col min="26" max="16384" width="9.140625" style="98" customWidth="1"/>
  </cols>
  <sheetData>
    <row r="1" spans="1:24" s="473" customFormat="1" ht="13.5" customHeight="1">
      <c r="A1" s="280"/>
      <c r="B1" s="286"/>
      <c r="C1" s="476"/>
      <c r="D1" s="475"/>
      <c r="E1" s="475"/>
      <c r="F1" s="474"/>
      <c r="G1" s="474"/>
      <c r="K1" s="670" t="s">
        <v>1050</v>
      </c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</row>
    <row r="2" spans="1:24" s="473" customFormat="1" ht="13.5" customHeight="1">
      <c r="A2" s="280"/>
      <c r="B2" s="279"/>
      <c r="C2" s="476"/>
      <c r="D2" s="475"/>
      <c r="E2" s="475"/>
      <c r="F2" s="474"/>
      <c r="G2" s="474"/>
      <c r="J2" s="671" t="s">
        <v>1057</v>
      </c>
      <c r="K2" s="671"/>
      <c r="L2" s="671"/>
      <c r="M2" s="671"/>
      <c r="N2" s="671"/>
      <c r="O2" s="671"/>
      <c r="P2" s="671"/>
      <c r="Q2" s="671"/>
      <c r="R2" s="671"/>
      <c r="S2" s="671"/>
      <c r="T2" s="671"/>
      <c r="U2" s="671"/>
      <c r="V2" s="671"/>
      <c r="W2" s="671"/>
      <c r="X2" s="671"/>
    </row>
    <row r="3" spans="1:24" s="473" customFormat="1" ht="13.5" customHeight="1">
      <c r="A3" s="280"/>
      <c r="B3" s="279"/>
      <c r="C3" s="476"/>
      <c r="D3" s="475"/>
      <c r="E3" s="475"/>
      <c r="F3" s="474"/>
      <c r="G3" s="474"/>
      <c r="J3" s="672" t="s">
        <v>1052</v>
      </c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</row>
    <row r="4" spans="1:24" s="76" customFormat="1" ht="28.5" customHeight="1">
      <c r="A4" s="472" t="s">
        <v>1049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1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1:24" s="375" customFormat="1" ht="13.5" customHeight="1">
      <c r="A5" s="624" t="s">
        <v>1048</v>
      </c>
      <c r="B5" s="624" t="s">
        <v>1047</v>
      </c>
      <c r="C5" s="625" t="s">
        <v>1046</v>
      </c>
      <c r="D5" s="622" t="s">
        <v>1045</v>
      </c>
      <c r="E5" s="626" t="s">
        <v>1044</v>
      </c>
      <c r="F5" s="626" t="s">
        <v>1043</v>
      </c>
      <c r="G5" s="470" t="s">
        <v>1042</v>
      </c>
      <c r="H5" s="622">
        <v>2024</v>
      </c>
      <c r="I5" s="622">
        <f aca="true" t="shared" si="0" ref="I5:V5">SUM(H5+1)</f>
        <v>2025</v>
      </c>
      <c r="J5" s="622">
        <f t="shared" si="0"/>
        <v>2026</v>
      </c>
      <c r="K5" s="622">
        <f t="shared" si="0"/>
        <v>2027</v>
      </c>
      <c r="L5" s="622">
        <f t="shared" si="0"/>
        <v>2028</v>
      </c>
      <c r="M5" s="622">
        <f t="shared" si="0"/>
        <v>2029</v>
      </c>
      <c r="N5" s="622">
        <f t="shared" si="0"/>
        <v>2030</v>
      </c>
      <c r="O5" s="622">
        <f t="shared" si="0"/>
        <v>2031</v>
      </c>
      <c r="P5" s="622">
        <f t="shared" si="0"/>
        <v>2032</v>
      </c>
      <c r="Q5" s="622">
        <f t="shared" si="0"/>
        <v>2033</v>
      </c>
      <c r="R5" s="622">
        <f t="shared" si="0"/>
        <v>2034</v>
      </c>
      <c r="S5" s="622">
        <f t="shared" si="0"/>
        <v>2035</v>
      </c>
      <c r="T5" s="622">
        <f t="shared" si="0"/>
        <v>2036</v>
      </c>
      <c r="U5" s="622">
        <f t="shared" si="0"/>
        <v>2037</v>
      </c>
      <c r="V5" s="622">
        <f t="shared" si="0"/>
        <v>2038</v>
      </c>
      <c r="W5" s="622" t="s">
        <v>1041</v>
      </c>
      <c r="X5" s="626" t="s">
        <v>1040</v>
      </c>
    </row>
    <row r="6" spans="1:24" s="375" customFormat="1" ht="13.5" customHeight="1">
      <c r="A6" s="624"/>
      <c r="B6" s="624"/>
      <c r="C6" s="625"/>
      <c r="D6" s="623"/>
      <c r="E6" s="627"/>
      <c r="F6" s="627"/>
      <c r="G6" s="470" t="s">
        <v>1039</v>
      </c>
      <c r="H6" s="623"/>
      <c r="I6" s="623"/>
      <c r="J6" s="623"/>
      <c r="K6" s="623"/>
      <c r="L6" s="623"/>
      <c r="M6" s="623"/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7"/>
    </row>
    <row r="7" spans="1:25" s="437" customFormat="1" ht="13.5" customHeight="1">
      <c r="A7" s="539">
        <v>1</v>
      </c>
      <c r="B7" s="347" t="s">
        <v>741</v>
      </c>
      <c r="C7" s="598" t="s">
        <v>1038</v>
      </c>
      <c r="D7" s="594">
        <v>648</v>
      </c>
      <c r="E7" s="596">
        <v>45201391.5</v>
      </c>
      <c r="F7" s="615" t="s">
        <v>1035</v>
      </c>
      <c r="G7" s="417" t="s">
        <v>734</v>
      </c>
      <c r="H7" s="428">
        <v>3888532</v>
      </c>
      <c r="I7" s="428">
        <v>3795232</v>
      </c>
      <c r="J7" s="428">
        <v>3470364</v>
      </c>
      <c r="K7" s="428">
        <v>1653540</v>
      </c>
      <c r="L7" s="428">
        <v>1134524</v>
      </c>
      <c r="M7" s="428">
        <v>936532</v>
      </c>
      <c r="N7" s="428">
        <v>747604</v>
      </c>
      <c r="O7" s="428">
        <v>747604</v>
      </c>
      <c r="P7" s="428">
        <v>747604</v>
      </c>
      <c r="Q7" s="428">
        <v>725552</v>
      </c>
      <c r="R7" s="428">
        <v>269152</v>
      </c>
      <c r="S7" s="428"/>
      <c r="T7" s="428"/>
      <c r="U7" s="428"/>
      <c r="V7" s="428"/>
      <c r="W7" s="428"/>
      <c r="X7" s="344">
        <f aca="true" t="shared" si="1" ref="X7:X70">SUM(H7:W7)</f>
        <v>18116240</v>
      </c>
      <c r="Y7" s="420"/>
    </row>
    <row r="8" spans="1:25" s="437" customFormat="1" ht="13.5" customHeight="1">
      <c r="A8" s="540"/>
      <c r="B8" s="422" t="s">
        <v>1034</v>
      </c>
      <c r="C8" s="599"/>
      <c r="D8" s="595"/>
      <c r="E8" s="597"/>
      <c r="F8" s="616"/>
      <c r="G8" s="412">
        <v>0.04296</v>
      </c>
      <c r="H8" s="426">
        <v>782765</v>
      </c>
      <c r="I8" s="426">
        <v>622695</v>
      </c>
      <c r="J8" s="426">
        <v>452405</v>
      </c>
      <c r="K8" s="426">
        <v>294620</v>
      </c>
      <c r="L8" s="426">
        <v>209960</v>
      </c>
      <c r="M8" s="426">
        <v>163875</v>
      </c>
      <c r="N8" s="426">
        <v>127055</v>
      </c>
      <c r="O8" s="426">
        <v>96310</v>
      </c>
      <c r="P8" s="426">
        <v>66185</v>
      </c>
      <c r="Q8" s="426">
        <v>35860</v>
      </c>
      <c r="R8" s="426">
        <v>10260</v>
      </c>
      <c r="S8" s="426">
        <v>610</v>
      </c>
      <c r="T8" s="426"/>
      <c r="U8" s="426"/>
      <c r="V8" s="426"/>
      <c r="W8" s="426"/>
      <c r="X8" s="339">
        <f t="shared" si="1"/>
        <v>2862600</v>
      </c>
      <c r="Y8" s="420"/>
    </row>
    <row r="9" spans="1:25" s="461" customFormat="1" ht="13.5" customHeight="1">
      <c r="A9" s="630" t="s">
        <v>1037</v>
      </c>
      <c r="B9" s="469" t="s">
        <v>741</v>
      </c>
      <c r="C9" s="555" t="s">
        <v>1036</v>
      </c>
      <c r="D9" s="555">
        <v>648</v>
      </c>
      <c r="E9" s="557"/>
      <c r="F9" s="559" t="s">
        <v>1035</v>
      </c>
      <c r="G9" s="468" t="s">
        <v>734</v>
      </c>
      <c r="H9" s="467">
        <v>-1451177</v>
      </c>
      <c r="I9" s="467">
        <v>0</v>
      </c>
      <c r="J9" s="467">
        <v>0</v>
      </c>
      <c r="K9" s="467">
        <v>181396</v>
      </c>
      <c r="L9" s="467">
        <v>181396</v>
      </c>
      <c r="M9" s="467">
        <v>181396</v>
      </c>
      <c r="N9" s="467">
        <v>181396</v>
      </c>
      <c r="O9" s="467">
        <v>181396</v>
      </c>
      <c r="P9" s="467">
        <v>181396</v>
      </c>
      <c r="Q9" s="467">
        <v>181396</v>
      </c>
      <c r="R9" s="467">
        <v>181405</v>
      </c>
      <c r="S9" s="467"/>
      <c r="T9" s="467"/>
      <c r="U9" s="467"/>
      <c r="V9" s="467"/>
      <c r="W9" s="467"/>
      <c r="X9" s="466">
        <f t="shared" si="1"/>
        <v>0</v>
      </c>
      <c r="Y9" s="408"/>
    </row>
    <row r="10" spans="1:25" s="461" customFormat="1" ht="13.5" customHeight="1">
      <c r="A10" s="631"/>
      <c r="B10" s="465" t="s">
        <v>1034</v>
      </c>
      <c r="C10" s="556"/>
      <c r="D10" s="556"/>
      <c r="E10" s="558"/>
      <c r="F10" s="560"/>
      <c r="G10" s="464">
        <v>0.04296</v>
      </c>
      <c r="H10" s="463">
        <v>13975</v>
      </c>
      <c r="I10" s="463">
        <v>62540</v>
      </c>
      <c r="J10" s="463">
        <v>66210</v>
      </c>
      <c r="K10" s="463">
        <v>60975</v>
      </c>
      <c r="L10" s="463">
        <v>50505</v>
      </c>
      <c r="M10" s="463">
        <v>43010</v>
      </c>
      <c r="N10" s="463">
        <v>35650</v>
      </c>
      <c r="O10" s="463">
        <v>28295</v>
      </c>
      <c r="P10" s="463">
        <v>21000</v>
      </c>
      <c r="Q10" s="463">
        <v>13580</v>
      </c>
      <c r="R10" s="463">
        <v>6225</v>
      </c>
      <c r="S10" s="463">
        <v>410</v>
      </c>
      <c r="T10" s="463"/>
      <c r="U10" s="463"/>
      <c r="V10" s="463"/>
      <c r="W10" s="463"/>
      <c r="X10" s="462">
        <f t="shared" si="1"/>
        <v>402375</v>
      </c>
      <c r="Y10" s="408"/>
    </row>
    <row r="11" spans="1:25" s="302" customFormat="1" ht="13.5" customHeight="1">
      <c r="A11" s="628">
        <v>2</v>
      </c>
      <c r="B11" s="444" t="s">
        <v>741</v>
      </c>
      <c r="C11" s="629" t="s">
        <v>1033</v>
      </c>
      <c r="D11" s="620">
        <v>628</v>
      </c>
      <c r="E11" s="612">
        <v>119421</v>
      </c>
      <c r="F11" s="621" t="s">
        <v>1032</v>
      </c>
      <c r="G11" s="460" t="s">
        <v>734</v>
      </c>
      <c r="H11" s="459">
        <v>6728</v>
      </c>
      <c r="I11" s="459">
        <v>6728</v>
      </c>
      <c r="J11" s="459">
        <v>6728</v>
      </c>
      <c r="K11" s="459">
        <v>6728</v>
      </c>
      <c r="L11" s="459">
        <v>6728</v>
      </c>
      <c r="M11" s="459">
        <v>6728</v>
      </c>
      <c r="N11" s="459">
        <v>6728</v>
      </c>
      <c r="O11" s="459">
        <v>6728</v>
      </c>
      <c r="P11" s="459">
        <v>6728</v>
      </c>
      <c r="Q11" s="459">
        <v>6728</v>
      </c>
      <c r="R11" s="459">
        <v>6728</v>
      </c>
      <c r="S11" s="459">
        <v>1682</v>
      </c>
      <c r="T11" s="459"/>
      <c r="U11" s="459"/>
      <c r="V11" s="459"/>
      <c r="W11" s="459"/>
      <c r="X11" s="344">
        <f t="shared" si="1"/>
        <v>75690</v>
      </c>
      <c r="Y11" s="452"/>
    </row>
    <row r="12" spans="1:25" s="302" customFormat="1" ht="13.5" customHeight="1">
      <c r="A12" s="540"/>
      <c r="B12" s="342" t="s">
        <v>1031</v>
      </c>
      <c r="C12" s="542"/>
      <c r="D12" s="546"/>
      <c r="E12" s="597"/>
      <c r="F12" s="603"/>
      <c r="G12" s="412">
        <v>0.03906</v>
      </c>
      <c r="H12" s="448">
        <v>2880</v>
      </c>
      <c r="I12" s="448">
        <v>2740</v>
      </c>
      <c r="J12" s="448">
        <v>2485</v>
      </c>
      <c r="K12" s="448">
        <v>2130</v>
      </c>
      <c r="L12" s="448">
        <v>1845</v>
      </c>
      <c r="M12" s="448">
        <v>1585</v>
      </c>
      <c r="N12" s="448">
        <v>1320</v>
      </c>
      <c r="O12" s="448">
        <v>1065</v>
      </c>
      <c r="P12" s="448">
        <v>805</v>
      </c>
      <c r="Q12" s="448">
        <v>545</v>
      </c>
      <c r="R12" s="448">
        <v>285</v>
      </c>
      <c r="S12" s="448">
        <v>45</v>
      </c>
      <c r="T12" s="448"/>
      <c r="U12" s="448"/>
      <c r="V12" s="448"/>
      <c r="W12" s="448"/>
      <c r="X12" s="339">
        <f t="shared" si="1"/>
        <v>17730</v>
      </c>
      <c r="Y12" s="452"/>
    </row>
    <row r="13" spans="1:25" s="302" customFormat="1" ht="13.5" customHeight="1">
      <c r="A13" s="539">
        <v>3</v>
      </c>
      <c r="B13" s="347" t="s">
        <v>741</v>
      </c>
      <c r="C13" s="547" t="s">
        <v>1030</v>
      </c>
      <c r="D13" s="545">
        <v>629</v>
      </c>
      <c r="E13" s="596">
        <v>463710</v>
      </c>
      <c r="F13" s="615" t="s">
        <v>1029</v>
      </c>
      <c r="G13" s="451" t="s">
        <v>734</v>
      </c>
      <c r="H13" s="449">
        <v>25412</v>
      </c>
      <c r="I13" s="449">
        <v>25412</v>
      </c>
      <c r="J13" s="449">
        <v>25412</v>
      </c>
      <c r="K13" s="449">
        <v>25412</v>
      </c>
      <c r="L13" s="449">
        <v>25412</v>
      </c>
      <c r="M13" s="449">
        <v>25412</v>
      </c>
      <c r="N13" s="449">
        <v>25412</v>
      </c>
      <c r="O13" s="449">
        <v>25412</v>
      </c>
      <c r="P13" s="449">
        <v>25412</v>
      </c>
      <c r="Q13" s="449">
        <v>25412</v>
      </c>
      <c r="R13" s="449">
        <v>25412</v>
      </c>
      <c r="S13" s="449">
        <v>6353</v>
      </c>
      <c r="T13" s="449"/>
      <c r="U13" s="449"/>
      <c r="V13" s="449"/>
      <c r="W13" s="458"/>
      <c r="X13" s="344">
        <f t="shared" si="1"/>
        <v>285885</v>
      </c>
      <c r="Y13" s="452"/>
    </row>
    <row r="14" spans="1:25" s="302" customFormat="1" ht="13.5" customHeight="1">
      <c r="A14" s="540"/>
      <c r="B14" s="342" t="s">
        <v>1028</v>
      </c>
      <c r="C14" s="542"/>
      <c r="D14" s="546"/>
      <c r="E14" s="597"/>
      <c r="F14" s="616"/>
      <c r="G14" s="412">
        <v>0.03906</v>
      </c>
      <c r="H14" s="448">
        <v>10875</v>
      </c>
      <c r="I14" s="448">
        <v>10345</v>
      </c>
      <c r="J14" s="448">
        <v>9375</v>
      </c>
      <c r="K14" s="448">
        <v>8040</v>
      </c>
      <c r="L14" s="448">
        <v>6970</v>
      </c>
      <c r="M14" s="448">
        <v>5970</v>
      </c>
      <c r="N14" s="448">
        <v>4990</v>
      </c>
      <c r="O14" s="448">
        <v>4015</v>
      </c>
      <c r="P14" s="448">
        <v>3040</v>
      </c>
      <c r="Q14" s="448">
        <v>2055</v>
      </c>
      <c r="R14" s="448">
        <v>1075</v>
      </c>
      <c r="S14" s="448">
        <v>165</v>
      </c>
      <c r="T14" s="448"/>
      <c r="U14" s="448"/>
      <c r="V14" s="448"/>
      <c r="W14" s="457"/>
      <c r="X14" s="339">
        <f t="shared" si="1"/>
        <v>66915</v>
      </c>
      <c r="Y14" s="452"/>
    </row>
    <row r="15" spans="1:25" s="456" customFormat="1" ht="13.5" customHeight="1">
      <c r="A15" s="539">
        <v>4</v>
      </c>
      <c r="B15" s="347" t="s">
        <v>741</v>
      </c>
      <c r="C15" s="547" t="s">
        <v>1027</v>
      </c>
      <c r="D15" s="545">
        <v>630</v>
      </c>
      <c r="E15" s="596">
        <v>162998</v>
      </c>
      <c r="F15" s="618" t="s">
        <v>1026</v>
      </c>
      <c r="G15" s="451" t="s">
        <v>734</v>
      </c>
      <c r="H15" s="455">
        <v>6976</v>
      </c>
      <c r="I15" s="455">
        <v>6976</v>
      </c>
      <c r="J15" s="455">
        <v>6976</v>
      </c>
      <c r="K15" s="455">
        <v>6976</v>
      </c>
      <c r="L15" s="455">
        <v>6976</v>
      </c>
      <c r="M15" s="455">
        <v>6976</v>
      </c>
      <c r="N15" s="455">
        <v>6976</v>
      </c>
      <c r="O15" s="455">
        <v>6976</v>
      </c>
      <c r="P15" s="455">
        <v>6976</v>
      </c>
      <c r="Q15" s="455">
        <v>6976</v>
      </c>
      <c r="R15" s="455">
        <v>6976</v>
      </c>
      <c r="S15" s="455">
        <v>3488</v>
      </c>
      <c r="T15" s="455"/>
      <c r="U15" s="455"/>
      <c r="V15" s="455"/>
      <c r="W15" s="455"/>
      <c r="X15" s="344">
        <f t="shared" si="1"/>
        <v>80224</v>
      </c>
      <c r="Y15" s="420"/>
    </row>
    <row r="16" spans="1:25" s="437" customFormat="1" ht="13.5" customHeight="1">
      <c r="A16" s="540"/>
      <c r="B16" s="342" t="s">
        <v>1025</v>
      </c>
      <c r="C16" s="542"/>
      <c r="D16" s="546"/>
      <c r="E16" s="597"/>
      <c r="F16" s="619"/>
      <c r="G16" s="412">
        <v>0.04057</v>
      </c>
      <c r="H16" s="453">
        <v>3440</v>
      </c>
      <c r="I16" s="453">
        <v>3115</v>
      </c>
      <c r="J16" s="453">
        <v>2645</v>
      </c>
      <c r="K16" s="453">
        <v>2305</v>
      </c>
      <c r="L16" s="453">
        <v>1980</v>
      </c>
      <c r="M16" s="453">
        <v>1710</v>
      </c>
      <c r="N16" s="453">
        <v>1440</v>
      </c>
      <c r="O16" s="453">
        <v>1170</v>
      </c>
      <c r="P16" s="453">
        <v>905</v>
      </c>
      <c r="Q16" s="453">
        <v>835</v>
      </c>
      <c r="R16" s="453">
        <v>365</v>
      </c>
      <c r="S16" s="453">
        <v>95</v>
      </c>
      <c r="T16" s="453"/>
      <c r="U16" s="453"/>
      <c r="V16" s="453"/>
      <c r="W16" s="453"/>
      <c r="X16" s="339">
        <f t="shared" si="1"/>
        <v>20005</v>
      </c>
      <c r="Y16" s="420"/>
    </row>
    <row r="17" spans="1:25" s="437" customFormat="1" ht="13.5" customHeight="1">
      <c r="A17" s="539">
        <v>5</v>
      </c>
      <c r="B17" s="347" t="s">
        <v>1024</v>
      </c>
      <c r="C17" s="547" t="s">
        <v>1023</v>
      </c>
      <c r="D17" s="545">
        <v>631</v>
      </c>
      <c r="E17" s="596">
        <f>89504-0.24</f>
        <v>89503.76</v>
      </c>
      <c r="F17" s="615" t="s">
        <v>1022</v>
      </c>
      <c r="G17" s="451" t="s">
        <v>734</v>
      </c>
      <c r="H17" s="455">
        <v>5116</v>
      </c>
      <c r="I17" s="455">
        <v>5116</v>
      </c>
      <c r="J17" s="455">
        <v>5116</v>
      </c>
      <c r="K17" s="455">
        <v>5116</v>
      </c>
      <c r="L17" s="455">
        <v>5116</v>
      </c>
      <c r="M17" s="455">
        <v>5116</v>
      </c>
      <c r="N17" s="455">
        <v>5116</v>
      </c>
      <c r="O17" s="455">
        <v>5116</v>
      </c>
      <c r="P17" s="455">
        <v>5116</v>
      </c>
      <c r="Q17" s="455">
        <f>5116</f>
        <v>5116</v>
      </c>
      <c r="R17" s="455">
        <v>5116</v>
      </c>
      <c r="S17" s="454">
        <v>2557.76</v>
      </c>
      <c r="T17" s="454"/>
      <c r="U17" s="454"/>
      <c r="V17" s="454"/>
      <c r="W17" s="454"/>
      <c r="X17" s="344">
        <f t="shared" si="1"/>
        <v>58833.76</v>
      </c>
      <c r="Y17" s="420"/>
    </row>
    <row r="18" spans="1:25" s="437" customFormat="1" ht="13.5" customHeight="1">
      <c r="A18" s="540"/>
      <c r="B18" s="342" t="s">
        <v>1021</v>
      </c>
      <c r="C18" s="542"/>
      <c r="D18" s="546"/>
      <c r="E18" s="597"/>
      <c r="F18" s="616"/>
      <c r="G18" s="412">
        <v>0.04194</v>
      </c>
      <c r="H18" s="453">
        <v>2565</v>
      </c>
      <c r="I18" s="453">
        <v>2285</v>
      </c>
      <c r="J18" s="453">
        <v>1940</v>
      </c>
      <c r="K18" s="453">
        <v>1690</v>
      </c>
      <c r="L18" s="453">
        <v>1455</v>
      </c>
      <c r="M18" s="453">
        <v>1255</v>
      </c>
      <c r="N18" s="453">
        <v>1055</v>
      </c>
      <c r="O18" s="453">
        <v>860</v>
      </c>
      <c r="P18" s="453">
        <v>665</v>
      </c>
      <c r="Q18" s="453">
        <v>465</v>
      </c>
      <c r="R18" s="453">
        <v>270</v>
      </c>
      <c r="S18" s="453">
        <v>70</v>
      </c>
      <c r="T18" s="453"/>
      <c r="U18" s="453"/>
      <c r="V18" s="453"/>
      <c r="W18" s="453"/>
      <c r="X18" s="339">
        <f t="shared" si="1"/>
        <v>14575</v>
      </c>
      <c r="Y18" s="420"/>
    </row>
    <row r="19" spans="1:25" s="302" customFormat="1" ht="13.5" customHeight="1">
      <c r="A19" s="539">
        <v>6</v>
      </c>
      <c r="B19" s="347" t="s">
        <v>741</v>
      </c>
      <c r="C19" s="547" t="s">
        <v>1020</v>
      </c>
      <c r="D19" s="545">
        <v>632</v>
      </c>
      <c r="E19" s="596">
        <v>1331708.19</v>
      </c>
      <c r="F19" s="602" t="s">
        <v>1019</v>
      </c>
      <c r="G19" s="451" t="s">
        <v>734</v>
      </c>
      <c r="H19" s="450">
        <v>20000</v>
      </c>
      <c r="I19" s="450">
        <v>20000</v>
      </c>
      <c r="J19" s="450">
        <v>50000</v>
      </c>
      <c r="K19" s="450">
        <v>79000</v>
      </c>
      <c r="L19" s="450">
        <v>79000</v>
      </c>
      <c r="M19" s="450">
        <v>79000</v>
      </c>
      <c r="N19" s="450">
        <v>79000</v>
      </c>
      <c r="O19" s="450">
        <v>79000</v>
      </c>
      <c r="P19" s="449">
        <v>79000</v>
      </c>
      <c r="Q19" s="449">
        <f>79000</f>
        <v>79000</v>
      </c>
      <c r="R19" s="449">
        <v>79000</v>
      </c>
      <c r="S19" s="449">
        <v>59250</v>
      </c>
      <c r="T19" s="449"/>
      <c r="U19" s="449"/>
      <c r="V19" s="449"/>
      <c r="W19" s="449"/>
      <c r="X19" s="344">
        <f t="shared" si="1"/>
        <v>781250</v>
      </c>
      <c r="Y19" s="452"/>
    </row>
    <row r="20" spans="1:25" s="302" customFormat="1" ht="13.5" customHeight="1">
      <c r="A20" s="540"/>
      <c r="B20" s="342" t="s">
        <v>1018</v>
      </c>
      <c r="C20" s="542"/>
      <c r="D20" s="546"/>
      <c r="E20" s="597"/>
      <c r="F20" s="604"/>
      <c r="G20" s="412">
        <v>0.0445</v>
      </c>
      <c r="H20" s="448">
        <v>35305</v>
      </c>
      <c r="I20" s="448">
        <v>33635</v>
      </c>
      <c r="J20" s="448">
        <v>29320</v>
      </c>
      <c r="K20" s="448">
        <v>26105</v>
      </c>
      <c r="L20" s="448">
        <v>23185</v>
      </c>
      <c r="M20" s="448">
        <v>20080</v>
      </c>
      <c r="N20" s="448">
        <v>17035</v>
      </c>
      <c r="O20" s="448">
        <v>13990</v>
      </c>
      <c r="P20" s="448">
        <v>10980</v>
      </c>
      <c r="Q20" s="448">
        <v>7905</v>
      </c>
      <c r="R20" s="448">
        <v>4860</v>
      </c>
      <c r="S20" s="448">
        <v>1815</v>
      </c>
      <c r="T20" s="448"/>
      <c r="U20" s="448"/>
      <c r="V20" s="448"/>
      <c r="W20" s="448"/>
      <c r="X20" s="339">
        <f t="shared" si="1"/>
        <v>224215</v>
      </c>
      <c r="Y20" s="452"/>
    </row>
    <row r="21" spans="1:25" s="437" customFormat="1" ht="13.5" customHeight="1">
      <c r="A21" s="539">
        <v>7</v>
      </c>
      <c r="B21" s="347" t="s">
        <v>741</v>
      </c>
      <c r="C21" s="617" t="s">
        <v>855</v>
      </c>
      <c r="D21" s="545">
        <v>633</v>
      </c>
      <c r="E21" s="608">
        <f>8339124-3412924+1558975</f>
        <v>6485175</v>
      </c>
      <c r="F21" s="602" t="s">
        <v>1017</v>
      </c>
      <c r="G21" s="451" t="s">
        <v>734</v>
      </c>
      <c r="H21" s="443">
        <v>8000</v>
      </c>
      <c r="I21" s="443">
        <v>20000</v>
      </c>
      <c r="J21" s="443">
        <v>60000</v>
      </c>
      <c r="K21" s="443">
        <v>238000</v>
      </c>
      <c r="L21" s="443">
        <v>238000</v>
      </c>
      <c r="M21" s="443">
        <v>304544</v>
      </c>
      <c r="N21" s="443">
        <v>304544</v>
      </c>
      <c r="O21" s="443">
        <v>304544</v>
      </c>
      <c r="P21" s="443">
        <v>304544</v>
      </c>
      <c r="Q21" s="443">
        <v>304544</v>
      </c>
      <c r="R21" s="443">
        <v>304544</v>
      </c>
      <c r="S21" s="443">
        <v>304544</v>
      </c>
      <c r="T21" s="443">
        <v>304544</v>
      </c>
      <c r="U21" s="442">
        <v>304544</v>
      </c>
      <c r="V21" s="442">
        <v>304544</v>
      </c>
      <c r="W21" s="442">
        <v>2501430.29</v>
      </c>
      <c r="X21" s="344">
        <f t="shared" si="1"/>
        <v>6110870.29</v>
      </c>
      <c r="Y21" s="420"/>
    </row>
    <row r="22" spans="1:25" s="437" customFormat="1" ht="13.5" customHeight="1">
      <c r="A22" s="540"/>
      <c r="B22" s="342" t="s">
        <v>1016</v>
      </c>
      <c r="C22" s="599"/>
      <c r="D22" s="546"/>
      <c r="E22" s="609"/>
      <c r="F22" s="604"/>
      <c r="G22" s="412">
        <v>0.04189</v>
      </c>
      <c r="H22" s="441">
        <v>269850</v>
      </c>
      <c r="I22" s="441">
        <v>262785</v>
      </c>
      <c r="J22" s="441">
        <v>246230</v>
      </c>
      <c r="K22" s="441">
        <v>236350</v>
      </c>
      <c r="L22" s="441">
        <v>222080</v>
      </c>
      <c r="M22" s="441">
        <v>211760</v>
      </c>
      <c r="N22" s="441">
        <v>200170</v>
      </c>
      <c r="O22" s="441">
        <v>188435</v>
      </c>
      <c r="P22" s="441">
        <v>177190</v>
      </c>
      <c r="Q22" s="441">
        <v>165970</v>
      </c>
      <c r="R22" s="441">
        <v>153235</v>
      </c>
      <c r="S22" s="441">
        <v>141500</v>
      </c>
      <c r="T22" s="441">
        <v>130130</v>
      </c>
      <c r="U22" s="441">
        <v>118035</v>
      </c>
      <c r="V22" s="441">
        <v>106300</v>
      </c>
      <c r="W22" s="441">
        <v>430160</v>
      </c>
      <c r="X22" s="339">
        <f t="shared" si="1"/>
        <v>3260180</v>
      </c>
      <c r="Y22" s="420"/>
    </row>
    <row r="23" spans="1:25" s="437" customFormat="1" ht="13.5" customHeight="1">
      <c r="A23" s="539">
        <v>8</v>
      </c>
      <c r="B23" s="347" t="s">
        <v>741</v>
      </c>
      <c r="C23" s="617" t="s">
        <v>1015</v>
      </c>
      <c r="D23" s="545">
        <v>634</v>
      </c>
      <c r="E23" s="596">
        <f>206622-0.62</f>
        <v>206621.38</v>
      </c>
      <c r="F23" s="602" t="s">
        <v>1014</v>
      </c>
      <c r="G23" s="451" t="s">
        <v>734</v>
      </c>
      <c r="H23" s="443">
        <v>13640</v>
      </c>
      <c r="I23" s="443">
        <v>13640</v>
      </c>
      <c r="J23" s="443">
        <v>13640</v>
      </c>
      <c r="K23" s="443">
        <v>13640</v>
      </c>
      <c r="L23" s="443">
        <v>13640</v>
      </c>
      <c r="M23" s="443">
        <v>13640</v>
      </c>
      <c r="N23" s="443">
        <v>13640</v>
      </c>
      <c r="O23" s="443">
        <v>13640</v>
      </c>
      <c r="P23" s="443">
        <v>13640</v>
      </c>
      <c r="Q23" s="443">
        <v>13640</v>
      </c>
      <c r="R23" s="443">
        <v>13640</v>
      </c>
      <c r="S23" s="443">
        <v>13640</v>
      </c>
      <c r="T23" s="442">
        <v>13661.38</v>
      </c>
      <c r="U23" s="442"/>
      <c r="V23" s="442"/>
      <c r="W23" s="442"/>
      <c r="X23" s="344">
        <f t="shared" si="1"/>
        <v>177341.38</v>
      </c>
      <c r="Y23" s="420"/>
    </row>
    <row r="24" spans="1:25" s="437" customFormat="1" ht="13.5" customHeight="1">
      <c r="A24" s="540"/>
      <c r="B24" s="342" t="s">
        <v>1013</v>
      </c>
      <c r="C24" s="599"/>
      <c r="D24" s="546"/>
      <c r="E24" s="597"/>
      <c r="F24" s="604"/>
      <c r="G24" s="412">
        <v>0.04189</v>
      </c>
      <c r="H24" s="441">
        <v>7735</v>
      </c>
      <c r="I24" s="441">
        <v>6975</v>
      </c>
      <c r="J24" s="441">
        <v>6005</v>
      </c>
      <c r="K24" s="441">
        <v>5315</v>
      </c>
      <c r="L24" s="441">
        <v>4665</v>
      </c>
      <c r="M24" s="441">
        <v>4125</v>
      </c>
      <c r="N24" s="441">
        <v>3600</v>
      </c>
      <c r="O24" s="441">
        <v>3075</v>
      </c>
      <c r="P24" s="441">
        <v>2555</v>
      </c>
      <c r="Q24" s="441">
        <v>2025</v>
      </c>
      <c r="R24" s="441">
        <v>1500</v>
      </c>
      <c r="S24" s="441">
        <v>975</v>
      </c>
      <c r="T24" s="441">
        <v>450</v>
      </c>
      <c r="U24" s="441">
        <v>30</v>
      </c>
      <c r="V24" s="441"/>
      <c r="W24" s="441"/>
      <c r="X24" s="339">
        <f t="shared" si="1"/>
        <v>49030</v>
      </c>
      <c r="Y24" s="420"/>
    </row>
    <row r="25" spans="1:25" s="437" customFormat="1" ht="13.5" customHeight="1">
      <c r="A25" s="539">
        <v>9</v>
      </c>
      <c r="B25" s="347" t="s">
        <v>741</v>
      </c>
      <c r="C25" s="598" t="s">
        <v>1012</v>
      </c>
      <c r="D25" s="545">
        <v>635</v>
      </c>
      <c r="E25" s="596">
        <v>307624.96</v>
      </c>
      <c r="F25" s="615" t="s">
        <v>1009</v>
      </c>
      <c r="G25" s="451" t="s">
        <v>734</v>
      </c>
      <c r="H25" s="450">
        <v>10000</v>
      </c>
      <c r="I25" s="450">
        <v>23824</v>
      </c>
      <c r="J25" s="450">
        <v>23824</v>
      </c>
      <c r="K25" s="450">
        <v>23824</v>
      </c>
      <c r="L25" s="450">
        <v>23824</v>
      </c>
      <c r="M25" s="450">
        <v>23824</v>
      </c>
      <c r="N25" s="450">
        <v>23824</v>
      </c>
      <c r="O25" s="450">
        <v>23824</v>
      </c>
      <c r="P25" s="449">
        <v>23824</v>
      </c>
      <c r="Q25" s="449">
        <f>23824</f>
        <v>23824</v>
      </c>
      <c r="R25" s="449">
        <v>23824</v>
      </c>
      <c r="S25" s="449">
        <v>23824</v>
      </c>
      <c r="T25" s="449">
        <v>23810.96</v>
      </c>
      <c r="U25" s="449"/>
      <c r="V25" s="449"/>
      <c r="W25" s="449"/>
      <c r="X25" s="344">
        <f t="shared" si="1"/>
        <v>295874.96</v>
      </c>
      <c r="Y25" s="420"/>
    </row>
    <row r="26" spans="1:25" s="437" customFormat="1" ht="13.5" customHeight="1">
      <c r="A26" s="540"/>
      <c r="B26" s="342" t="s">
        <v>1011</v>
      </c>
      <c r="C26" s="599"/>
      <c r="D26" s="546"/>
      <c r="E26" s="597"/>
      <c r="F26" s="616"/>
      <c r="G26" s="412">
        <v>0.04369</v>
      </c>
      <c r="H26" s="448">
        <v>13260</v>
      </c>
      <c r="I26" s="448">
        <v>12140</v>
      </c>
      <c r="J26" s="448">
        <v>10480</v>
      </c>
      <c r="K26" s="448">
        <v>9285</v>
      </c>
      <c r="L26" s="448">
        <v>8145</v>
      </c>
      <c r="M26" s="448">
        <v>7205</v>
      </c>
      <c r="N26" s="448">
        <v>6285</v>
      </c>
      <c r="O26" s="448">
        <v>5370</v>
      </c>
      <c r="P26" s="448">
        <v>4465</v>
      </c>
      <c r="Q26" s="448">
        <v>3530</v>
      </c>
      <c r="R26" s="448">
        <v>2615</v>
      </c>
      <c r="S26" s="448">
        <v>1695</v>
      </c>
      <c r="T26" s="448">
        <v>780</v>
      </c>
      <c r="U26" s="448">
        <v>55</v>
      </c>
      <c r="V26" s="448"/>
      <c r="W26" s="448"/>
      <c r="X26" s="339">
        <f t="shared" si="1"/>
        <v>85310</v>
      </c>
      <c r="Y26" s="420"/>
    </row>
    <row r="27" spans="1:25" s="437" customFormat="1" ht="13.5" customHeight="1">
      <c r="A27" s="539">
        <v>10</v>
      </c>
      <c r="B27" s="347" t="s">
        <v>741</v>
      </c>
      <c r="C27" s="598" t="s">
        <v>1010</v>
      </c>
      <c r="D27" s="545">
        <v>636</v>
      </c>
      <c r="E27" s="596">
        <v>69989</v>
      </c>
      <c r="F27" s="615" t="s">
        <v>1009</v>
      </c>
      <c r="G27" s="451" t="s">
        <v>734</v>
      </c>
      <c r="H27" s="450">
        <v>2000</v>
      </c>
      <c r="I27" s="450">
        <v>5000</v>
      </c>
      <c r="J27" s="450">
        <v>5272</v>
      </c>
      <c r="K27" s="450">
        <v>5272</v>
      </c>
      <c r="L27" s="450">
        <v>5272</v>
      </c>
      <c r="M27" s="450">
        <v>5272</v>
      </c>
      <c r="N27" s="450">
        <v>5272</v>
      </c>
      <c r="O27" s="450">
        <v>5272</v>
      </c>
      <c r="P27" s="450">
        <v>5272</v>
      </c>
      <c r="Q27" s="450">
        <v>5272</v>
      </c>
      <c r="R27" s="450">
        <v>5272</v>
      </c>
      <c r="S27" s="450">
        <v>5272</v>
      </c>
      <c r="T27" s="450">
        <v>5269</v>
      </c>
      <c r="U27" s="450"/>
      <c r="V27" s="450"/>
      <c r="W27" s="450"/>
      <c r="X27" s="344">
        <f t="shared" si="1"/>
        <v>64989</v>
      </c>
      <c r="Y27" s="420"/>
    </row>
    <row r="28" spans="1:25" s="437" customFormat="1" ht="13.5" customHeight="1">
      <c r="A28" s="540"/>
      <c r="B28" s="342" t="s">
        <v>1008</v>
      </c>
      <c r="C28" s="599"/>
      <c r="D28" s="546"/>
      <c r="E28" s="597"/>
      <c r="F28" s="616"/>
      <c r="G28" s="412">
        <v>0.04369</v>
      </c>
      <c r="H28" s="448">
        <v>2920</v>
      </c>
      <c r="I28" s="448">
        <v>2680</v>
      </c>
      <c r="J28" s="448">
        <v>2320</v>
      </c>
      <c r="K28" s="448">
        <v>2055</v>
      </c>
      <c r="L28" s="448">
        <v>1805</v>
      </c>
      <c r="M28" s="448">
        <v>1595</v>
      </c>
      <c r="N28" s="448">
        <v>1395</v>
      </c>
      <c r="O28" s="448">
        <v>1190</v>
      </c>
      <c r="P28" s="448">
        <v>990</v>
      </c>
      <c r="Q28" s="448">
        <v>785</v>
      </c>
      <c r="R28" s="448">
        <v>580</v>
      </c>
      <c r="S28" s="448">
        <v>375</v>
      </c>
      <c r="T28" s="448">
        <v>175</v>
      </c>
      <c r="U28" s="448">
        <v>15</v>
      </c>
      <c r="V28" s="448"/>
      <c r="W28" s="448"/>
      <c r="X28" s="339">
        <f t="shared" si="1"/>
        <v>18880</v>
      </c>
      <c r="Y28" s="420"/>
    </row>
    <row r="29" spans="1:25" s="437" customFormat="1" ht="13.5" customHeight="1">
      <c r="A29" s="539">
        <v>11</v>
      </c>
      <c r="B29" s="347" t="s">
        <v>741</v>
      </c>
      <c r="C29" s="598" t="s">
        <v>1007</v>
      </c>
      <c r="D29" s="594">
        <v>637</v>
      </c>
      <c r="E29" s="596">
        <v>212555.77</v>
      </c>
      <c r="F29" s="615" t="s">
        <v>1006</v>
      </c>
      <c r="G29" s="417" t="s">
        <v>734</v>
      </c>
      <c r="H29" s="443">
        <v>2000</v>
      </c>
      <c r="I29" s="443">
        <v>2000</v>
      </c>
      <c r="J29" s="443">
        <v>5000</v>
      </c>
      <c r="K29" s="443">
        <v>19920</v>
      </c>
      <c r="L29" s="443">
        <v>19920</v>
      </c>
      <c r="M29" s="443">
        <v>19920</v>
      </c>
      <c r="N29" s="443">
        <v>19920</v>
      </c>
      <c r="O29" s="443">
        <v>19920</v>
      </c>
      <c r="P29" s="442">
        <v>19920</v>
      </c>
      <c r="Q29" s="442">
        <v>19920</v>
      </c>
      <c r="R29" s="442">
        <v>19920</v>
      </c>
      <c r="S29" s="442">
        <v>19920</v>
      </c>
      <c r="T29" s="442">
        <v>19525.77</v>
      </c>
      <c r="U29" s="442"/>
      <c r="V29" s="442"/>
      <c r="W29" s="442"/>
      <c r="X29" s="344">
        <f t="shared" si="1"/>
        <v>207805.77</v>
      </c>
      <c r="Y29" s="420"/>
    </row>
    <row r="30" spans="1:25" s="437" customFormat="1" ht="13.5" customHeight="1">
      <c r="A30" s="540"/>
      <c r="B30" s="342" t="s">
        <v>1005</v>
      </c>
      <c r="C30" s="599"/>
      <c r="D30" s="595"/>
      <c r="E30" s="597"/>
      <c r="F30" s="616"/>
      <c r="G30" s="412">
        <v>0.04364</v>
      </c>
      <c r="H30" s="441">
        <v>9280</v>
      </c>
      <c r="I30" s="441">
        <v>9115</v>
      </c>
      <c r="J30" s="441">
        <v>8125</v>
      </c>
      <c r="K30" s="441">
        <v>7510</v>
      </c>
      <c r="L30" s="441">
        <v>6795</v>
      </c>
      <c r="M30" s="441">
        <v>6010</v>
      </c>
      <c r="N30" s="441">
        <v>5240</v>
      </c>
      <c r="O30" s="441">
        <v>4475</v>
      </c>
      <c r="P30" s="441">
        <v>3715</v>
      </c>
      <c r="Q30" s="441">
        <v>2940</v>
      </c>
      <c r="R30" s="441">
        <v>2170</v>
      </c>
      <c r="S30" s="441">
        <v>1405</v>
      </c>
      <c r="T30" s="441">
        <v>640</v>
      </c>
      <c r="U30" s="441">
        <v>40</v>
      </c>
      <c r="V30" s="441"/>
      <c r="W30" s="441"/>
      <c r="X30" s="339">
        <f t="shared" si="1"/>
        <v>67460</v>
      </c>
      <c r="Y30" s="420"/>
    </row>
    <row r="31" spans="1:25" s="437" customFormat="1" ht="16.5" customHeight="1">
      <c r="A31" s="539">
        <v>12</v>
      </c>
      <c r="B31" s="347" t="s">
        <v>741</v>
      </c>
      <c r="C31" s="598" t="s">
        <v>1004</v>
      </c>
      <c r="D31" s="594">
        <v>638</v>
      </c>
      <c r="E31" s="596">
        <v>1496459</v>
      </c>
      <c r="F31" s="602" t="s">
        <v>1003</v>
      </c>
      <c r="G31" s="417" t="s">
        <v>734</v>
      </c>
      <c r="H31" s="443">
        <v>5000</v>
      </c>
      <c r="I31" s="443">
        <v>10000</v>
      </c>
      <c r="J31" s="443">
        <v>20000</v>
      </c>
      <c r="K31" s="443">
        <v>50000</v>
      </c>
      <c r="L31" s="443">
        <v>50000</v>
      </c>
      <c r="M31" s="443">
        <v>50000</v>
      </c>
      <c r="N31" s="443">
        <v>69458</v>
      </c>
      <c r="O31" s="443">
        <v>75944</v>
      </c>
      <c r="P31" s="442">
        <v>75944</v>
      </c>
      <c r="Q31" s="442">
        <f>75944</f>
        <v>75944</v>
      </c>
      <c r="R31" s="442">
        <v>75944</v>
      </c>
      <c r="S31" s="442">
        <v>75944</v>
      </c>
      <c r="T31" s="442">
        <v>75944</v>
      </c>
      <c r="U31" s="442">
        <v>75944</v>
      </c>
      <c r="V31" s="442">
        <v>75944</v>
      </c>
      <c r="W31" s="442">
        <v>624699</v>
      </c>
      <c r="X31" s="344">
        <f t="shared" si="1"/>
        <v>1486709</v>
      </c>
      <c r="Y31" s="420"/>
    </row>
    <row r="32" spans="1:25" s="437" customFormat="1" ht="19.5" customHeight="1">
      <c r="A32" s="540"/>
      <c r="B32" s="342" t="s">
        <v>1002</v>
      </c>
      <c r="C32" s="599"/>
      <c r="D32" s="595"/>
      <c r="E32" s="597"/>
      <c r="F32" s="604"/>
      <c r="G32" s="412">
        <v>0.04369</v>
      </c>
      <c r="H32" s="441">
        <v>66500</v>
      </c>
      <c r="I32" s="441">
        <v>67525</v>
      </c>
      <c r="J32" s="441">
        <v>65115</v>
      </c>
      <c r="K32" s="441">
        <v>58495</v>
      </c>
      <c r="L32" s="441">
        <v>56695</v>
      </c>
      <c r="M32" s="441">
        <v>54510</v>
      </c>
      <c r="N32" s="441">
        <v>52400</v>
      </c>
      <c r="O32" s="441">
        <v>49500</v>
      </c>
      <c r="P32" s="441">
        <v>46550</v>
      </c>
      <c r="Q32" s="441">
        <v>43345</v>
      </c>
      <c r="R32" s="441">
        <v>40260</v>
      </c>
      <c r="S32" s="441">
        <v>37185</v>
      </c>
      <c r="T32" s="441">
        <v>34195</v>
      </c>
      <c r="U32" s="441">
        <v>31025</v>
      </c>
      <c r="V32" s="441">
        <v>27945</v>
      </c>
      <c r="W32" s="441">
        <v>113230</v>
      </c>
      <c r="X32" s="339">
        <f t="shared" si="1"/>
        <v>844475</v>
      </c>
      <c r="Y32" s="420"/>
    </row>
    <row r="33" spans="1:25" s="437" customFormat="1" ht="13.5" customHeight="1">
      <c r="A33" s="539">
        <v>13</v>
      </c>
      <c r="B33" s="347" t="s">
        <v>741</v>
      </c>
      <c r="C33" s="598" t="s">
        <v>1001</v>
      </c>
      <c r="D33" s="594">
        <v>639</v>
      </c>
      <c r="E33" s="596">
        <v>520249</v>
      </c>
      <c r="F33" s="602" t="s">
        <v>1000</v>
      </c>
      <c r="G33" s="417" t="s">
        <v>734</v>
      </c>
      <c r="H33" s="443">
        <v>5000</v>
      </c>
      <c r="I33" s="443">
        <v>5000</v>
      </c>
      <c r="J33" s="443">
        <v>10000</v>
      </c>
      <c r="K33" s="443">
        <v>45000</v>
      </c>
      <c r="L33" s="443">
        <v>45000</v>
      </c>
      <c r="M33" s="443">
        <v>45000</v>
      </c>
      <c r="N33" s="443">
        <v>45000</v>
      </c>
      <c r="O33" s="443">
        <v>45000</v>
      </c>
      <c r="P33" s="442">
        <v>45000</v>
      </c>
      <c r="Q33" s="442">
        <v>45000</v>
      </c>
      <c r="R33" s="442">
        <v>45000</v>
      </c>
      <c r="S33" s="442">
        <v>45000</v>
      </c>
      <c r="T33" s="442">
        <v>45000</v>
      </c>
      <c r="U33" s="442">
        <v>44949</v>
      </c>
      <c r="V33" s="442"/>
      <c r="W33" s="442"/>
      <c r="X33" s="344">
        <f t="shared" si="1"/>
        <v>514949</v>
      </c>
      <c r="Y33" s="420"/>
    </row>
    <row r="34" spans="1:25" s="437" customFormat="1" ht="13.5" customHeight="1">
      <c r="A34" s="540"/>
      <c r="B34" s="342" t="s">
        <v>999</v>
      </c>
      <c r="C34" s="599"/>
      <c r="D34" s="595"/>
      <c r="E34" s="597"/>
      <c r="F34" s="604"/>
      <c r="G34" s="412">
        <v>0.04369</v>
      </c>
      <c r="H34" s="441">
        <v>23005</v>
      </c>
      <c r="I34" s="441">
        <v>23235</v>
      </c>
      <c r="J34" s="441">
        <v>22320</v>
      </c>
      <c r="K34" s="441">
        <v>19715</v>
      </c>
      <c r="L34" s="441">
        <v>18020</v>
      </c>
      <c r="M34" s="441">
        <v>16145</v>
      </c>
      <c r="N34" s="441">
        <v>14320</v>
      </c>
      <c r="O34" s="441">
        <v>12495</v>
      </c>
      <c r="P34" s="441">
        <v>10700</v>
      </c>
      <c r="Q34" s="441">
        <v>8845</v>
      </c>
      <c r="R34" s="441">
        <v>7020</v>
      </c>
      <c r="S34" s="441">
        <v>5195</v>
      </c>
      <c r="T34" s="441">
        <v>3380</v>
      </c>
      <c r="U34" s="441">
        <v>1415</v>
      </c>
      <c r="V34" s="441"/>
      <c r="W34" s="441"/>
      <c r="X34" s="339">
        <f t="shared" si="1"/>
        <v>185810</v>
      </c>
      <c r="Y34" s="420"/>
    </row>
    <row r="35" spans="1:25" s="437" customFormat="1" ht="20.25" customHeight="1">
      <c r="A35" s="539">
        <v>14</v>
      </c>
      <c r="B35" s="347" t="s">
        <v>741</v>
      </c>
      <c r="C35" s="598" t="s">
        <v>998</v>
      </c>
      <c r="D35" s="594">
        <v>640</v>
      </c>
      <c r="E35" s="596">
        <f>409900-0.21</f>
        <v>409899.79</v>
      </c>
      <c r="F35" s="602" t="s">
        <v>997</v>
      </c>
      <c r="G35" s="417" t="s">
        <v>734</v>
      </c>
      <c r="H35" s="443">
        <v>5000</v>
      </c>
      <c r="I35" s="443">
        <v>5000</v>
      </c>
      <c r="J35" s="443">
        <v>10000</v>
      </c>
      <c r="K35" s="443">
        <v>34964</v>
      </c>
      <c r="L35" s="443">
        <v>34964</v>
      </c>
      <c r="M35" s="443">
        <v>34964</v>
      </c>
      <c r="N35" s="443">
        <v>34964</v>
      </c>
      <c r="O35" s="443">
        <v>34964</v>
      </c>
      <c r="P35" s="442">
        <v>34964</v>
      </c>
      <c r="Q35" s="442">
        <v>34964</v>
      </c>
      <c r="R35" s="442">
        <v>34964</v>
      </c>
      <c r="S35" s="442">
        <v>34964</v>
      </c>
      <c r="T35" s="442">
        <v>34964</v>
      </c>
      <c r="U35" s="442">
        <v>34959.79</v>
      </c>
      <c r="V35" s="442"/>
      <c r="W35" s="442"/>
      <c r="X35" s="344">
        <f t="shared" si="1"/>
        <v>404599.79</v>
      </c>
      <c r="Y35" s="420"/>
    </row>
    <row r="36" spans="1:25" s="437" customFormat="1" ht="21" customHeight="1">
      <c r="A36" s="540"/>
      <c r="B36" s="342" t="s">
        <v>996</v>
      </c>
      <c r="C36" s="599"/>
      <c r="D36" s="595"/>
      <c r="E36" s="597"/>
      <c r="F36" s="604"/>
      <c r="G36" s="412">
        <v>0.04467</v>
      </c>
      <c r="H36" s="441">
        <v>17950</v>
      </c>
      <c r="I36" s="441">
        <v>20220</v>
      </c>
      <c r="J36" s="441">
        <v>19915</v>
      </c>
      <c r="K36" s="441">
        <v>15325</v>
      </c>
      <c r="L36" s="441">
        <v>14000</v>
      </c>
      <c r="M36" s="441">
        <v>12545</v>
      </c>
      <c r="N36" s="441">
        <v>11130</v>
      </c>
      <c r="O36" s="441">
        <v>9710</v>
      </c>
      <c r="P36" s="441">
        <v>8315</v>
      </c>
      <c r="Q36" s="441">
        <v>6875</v>
      </c>
      <c r="R36" s="441">
        <v>5455</v>
      </c>
      <c r="S36" s="441">
        <v>4040</v>
      </c>
      <c r="T36" s="441">
        <v>2625</v>
      </c>
      <c r="U36" s="441">
        <v>1200</v>
      </c>
      <c r="V36" s="441">
        <v>80</v>
      </c>
      <c r="W36" s="441"/>
      <c r="X36" s="339">
        <f t="shared" si="1"/>
        <v>149385</v>
      </c>
      <c r="Y36" s="420"/>
    </row>
    <row r="37" spans="1:25" s="437" customFormat="1" ht="13.5" customHeight="1">
      <c r="A37" s="539">
        <v>15</v>
      </c>
      <c r="B37" s="347" t="s">
        <v>741</v>
      </c>
      <c r="C37" s="547" t="s">
        <v>995</v>
      </c>
      <c r="D37" s="594">
        <v>642</v>
      </c>
      <c r="E37" s="596">
        <f>231313-0.12</f>
        <v>231312.88</v>
      </c>
      <c r="F37" s="602" t="s">
        <v>994</v>
      </c>
      <c r="G37" s="417" t="s">
        <v>734</v>
      </c>
      <c r="H37" s="450">
        <v>14620</v>
      </c>
      <c r="I37" s="450">
        <v>14620</v>
      </c>
      <c r="J37" s="450">
        <v>14620</v>
      </c>
      <c r="K37" s="428">
        <v>14620</v>
      </c>
      <c r="L37" s="450">
        <v>14620</v>
      </c>
      <c r="M37" s="450">
        <v>14620</v>
      </c>
      <c r="N37" s="450">
        <v>14620</v>
      </c>
      <c r="O37" s="450">
        <v>14620</v>
      </c>
      <c r="P37" s="450">
        <v>14620</v>
      </c>
      <c r="Q37" s="450">
        <f>14620</f>
        <v>14620</v>
      </c>
      <c r="R37" s="450">
        <v>14620</v>
      </c>
      <c r="S37" s="450">
        <v>14620</v>
      </c>
      <c r="T37" s="449">
        <v>14620</v>
      </c>
      <c r="U37" s="449">
        <v>14632.88</v>
      </c>
      <c r="V37" s="449"/>
      <c r="W37" s="449"/>
      <c r="X37" s="344">
        <f t="shared" si="1"/>
        <v>204692.88</v>
      </c>
      <c r="Y37" s="420"/>
    </row>
    <row r="38" spans="1:25" s="437" customFormat="1" ht="13.5" customHeight="1">
      <c r="A38" s="540"/>
      <c r="B38" s="342" t="s">
        <v>993</v>
      </c>
      <c r="C38" s="542"/>
      <c r="D38" s="595"/>
      <c r="E38" s="597"/>
      <c r="F38" s="604"/>
      <c r="G38" s="412">
        <v>0.04076</v>
      </c>
      <c r="H38" s="448">
        <v>9040</v>
      </c>
      <c r="I38" s="448">
        <v>7865</v>
      </c>
      <c r="J38" s="448">
        <v>7025</v>
      </c>
      <c r="K38" s="426">
        <v>6195</v>
      </c>
      <c r="L38" s="448">
        <v>5565</v>
      </c>
      <c r="M38" s="448">
        <v>4985</v>
      </c>
      <c r="N38" s="448">
        <v>4420</v>
      </c>
      <c r="O38" s="448">
        <v>3860</v>
      </c>
      <c r="P38" s="448">
        <v>3305</v>
      </c>
      <c r="Q38" s="448">
        <v>2735</v>
      </c>
      <c r="R38" s="448">
        <v>2170</v>
      </c>
      <c r="S38" s="448">
        <v>1605</v>
      </c>
      <c r="T38" s="448">
        <v>1045</v>
      </c>
      <c r="U38" s="448">
        <v>480</v>
      </c>
      <c r="V38" s="448">
        <v>35</v>
      </c>
      <c r="W38" s="448"/>
      <c r="X38" s="339">
        <f t="shared" si="1"/>
        <v>60330</v>
      </c>
      <c r="Y38" s="420"/>
    </row>
    <row r="39" spans="1:25" s="437" customFormat="1" ht="13.5" customHeight="1">
      <c r="A39" s="539">
        <v>16</v>
      </c>
      <c r="B39" s="347" t="s">
        <v>741</v>
      </c>
      <c r="C39" s="598" t="s">
        <v>992</v>
      </c>
      <c r="D39" s="594">
        <v>644</v>
      </c>
      <c r="E39" s="596">
        <f>1188567-257831-28891.82</f>
        <v>901844.18</v>
      </c>
      <c r="F39" s="613" t="s">
        <v>991</v>
      </c>
      <c r="G39" s="417" t="s">
        <v>734</v>
      </c>
      <c r="H39" s="428">
        <v>6000</v>
      </c>
      <c r="I39" s="428">
        <v>10000</v>
      </c>
      <c r="J39" s="428">
        <v>16000</v>
      </c>
      <c r="K39" s="428">
        <v>36800</v>
      </c>
      <c r="L39" s="428">
        <v>36800</v>
      </c>
      <c r="M39" s="428">
        <v>36800</v>
      </c>
      <c r="N39" s="428">
        <v>36800</v>
      </c>
      <c r="O39" s="428">
        <v>36800</v>
      </c>
      <c r="P39" s="428">
        <v>36800</v>
      </c>
      <c r="Q39" s="428">
        <v>36800</v>
      </c>
      <c r="R39" s="428">
        <v>36800</v>
      </c>
      <c r="S39" s="428">
        <v>36800</v>
      </c>
      <c r="T39" s="428">
        <v>36800</v>
      </c>
      <c r="U39" s="428">
        <v>36800</v>
      </c>
      <c r="V39" s="428">
        <v>36800</v>
      </c>
      <c r="W39" s="428">
        <v>340202</v>
      </c>
      <c r="X39" s="344">
        <f t="shared" si="1"/>
        <v>813802</v>
      </c>
      <c r="Y39" s="420"/>
    </row>
    <row r="40" spans="1:25" s="437" customFormat="1" ht="13.5" customHeight="1">
      <c r="A40" s="540"/>
      <c r="B40" s="422" t="s">
        <v>990</v>
      </c>
      <c r="C40" s="599"/>
      <c r="D40" s="595"/>
      <c r="E40" s="597"/>
      <c r="F40" s="614"/>
      <c r="G40" s="412">
        <v>0.04154</v>
      </c>
      <c r="H40" s="426">
        <v>35750</v>
      </c>
      <c r="I40" s="426">
        <v>34735</v>
      </c>
      <c r="J40" s="426">
        <v>32245</v>
      </c>
      <c r="K40" s="426">
        <v>30650</v>
      </c>
      <c r="L40" s="426">
        <v>28565</v>
      </c>
      <c r="M40" s="426">
        <v>27070</v>
      </c>
      <c r="N40" s="426">
        <v>25650</v>
      </c>
      <c r="O40" s="426">
        <v>24235</v>
      </c>
      <c r="P40" s="426">
        <v>22880</v>
      </c>
      <c r="Q40" s="426">
        <v>21400</v>
      </c>
      <c r="R40" s="426">
        <v>19980</v>
      </c>
      <c r="S40" s="426">
        <v>18565</v>
      </c>
      <c r="T40" s="426">
        <v>17190</v>
      </c>
      <c r="U40" s="426">
        <v>15725</v>
      </c>
      <c r="V40" s="426">
        <v>14310</v>
      </c>
      <c r="W40" s="426">
        <v>65250</v>
      </c>
      <c r="X40" s="339">
        <f t="shared" si="1"/>
        <v>434200</v>
      </c>
      <c r="Y40" s="420"/>
    </row>
    <row r="41" spans="1:25" s="437" customFormat="1" ht="13.5" customHeight="1">
      <c r="A41" s="539">
        <v>17</v>
      </c>
      <c r="B41" s="347" t="s">
        <v>741</v>
      </c>
      <c r="C41" s="598" t="s">
        <v>989</v>
      </c>
      <c r="D41" s="594">
        <v>645</v>
      </c>
      <c r="E41" s="596">
        <v>785535</v>
      </c>
      <c r="F41" s="613" t="s">
        <v>988</v>
      </c>
      <c r="G41" s="417" t="s">
        <v>734</v>
      </c>
      <c r="H41" s="428">
        <v>6000</v>
      </c>
      <c r="I41" s="428">
        <v>10000</v>
      </c>
      <c r="J41" s="428">
        <v>20000</v>
      </c>
      <c r="K41" s="428">
        <v>66200</v>
      </c>
      <c r="L41" s="428">
        <v>66200</v>
      </c>
      <c r="M41" s="428">
        <v>66200</v>
      </c>
      <c r="N41" s="428">
        <v>66200</v>
      </c>
      <c r="O41" s="428">
        <v>66200</v>
      </c>
      <c r="P41" s="428">
        <v>66200</v>
      </c>
      <c r="Q41" s="428">
        <v>66200</v>
      </c>
      <c r="R41" s="428">
        <v>66200</v>
      </c>
      <c r="S41" s="428">
        <v>66200</v>
      </c>
      <c r="T41" s="428">
        <v>66200</v>
      </c>
      <c r="U41" s="428">
        <v>66200</v>
      </c>
      <c r="V41" s="428">
        <v>14960</v>
      </c>
      <c r="W41" s="428"/>
      <c r="X41" s="344">
        <f t="shared" si="1"/>
        <v>779160</v>
      </c>
      <c r="Y41" s="420"/>
    </row>
    <row r="42" spans="1:25" s="437" customFormat="1" ht="13.5" customHeight="1">
      <c r="A42" s="540"/>
      <c r="B42" s="422" t="s">
        <v>987</v>
      </c>
      <c r="C42" s="599"/>
      <c r="D42" s="595"/>
      <c r="E42" s="597"/>
      <c r="F42" s="614"/>
      <c r="G42" s="412">
        <v>0.04369</v>
      </c>
      <c r="H42" s="426">
        <v>34715</v>
      </c>
      <c r="I42" s="426">
        <v>33875</v>
      </c>
      <c r="J42" s="426">
        <v>30420</v>
      </c>
      <c r="K42" s="426">
        <v>28145</v>
      </c>
      <c r="L42" s="426">
        <v>25765</v>
      </c>
      <c r="M42" s="426">
        <v>23140</v>
      </c>
      <c r="N42" s="426">
        <v>20590</v>
      </c>
      <c r="O42" s="426">
        <v>18040</v>
      </c>
      <c r="P42" s="426">
        <v>15535</v>
      </c>
      <c r="Q42" s="426">
        <v>12940</v>
      </c>
      <c r="R42" s="426">
        <v>10390</v>
      </c>
      <c r="S42" s="426">
        <v>7835</v>
      </c>
      <c r="T42" s="426">
        <v>5300</v>
      </c>
      <c r="U42" s="426">
        <v>2735</v>
      </c>
      <c r="V42" s="426">
        <v>415</v>
      </c>
      <c r="W42" s="426"/>
      <c r="X42" s="339">
        <f t="shared" si="1"/>
        <v>269840</v>
      </c>
      <c r="Y42" s="420"/>
    </row>
    <row r="43" spans="1:25" s="437" customFormat="1" ht="28.5" customHeight="1">
      <c r="A43" s="539">
        <v>18</v>
      </c>
      <c r="B43" s="347" t="s">
        <v>741</v>
      </c>
      <c r="C43" s="598" t="s">
        <v>986</v>
      </c>
      <c r="D43" s="594">
        <v>646</v>
      </c>
      <c r="E43" s="608">
        <f>2223157+31089</f>
        <v>2254246</v>
      </c>
      <c r="F43" s="537" t="s">
        <v>984</v>
      </c>
      <c r="G43" s="417" t="s">
        <v>734</v>
      </c>
      <c r="H43" s="428">
        <v>10000</v>
      </c>
      <c r="I43" s="428">
        <v>20000</v>
      </c>
      <c r="J43" s="428">
        <v>40000</v>
      </c>
      <c r="K43" s="428">
        <v>102248</v>
      </c>
      <c r="L43" s="428">
        <v>102248</v>
      </c>
      <c r="M43" s="428">
        <v>102248</v>
      </c>
      <c r="N43" s="428">
        <v>102248</v>
      </c>
      <c r="O43" s="428">
        <v>102248</v>
      </c>
      <c r="P43" s="428">
        <v>102248</v>
      </c>
      <c r="Q43" s="428">
        <v>102248</v>
      </c>
      <c r="R43" s="428">
        <v>102248</v>
      </c>
      <c r="S43" s="428">
        <v>102248</v>
      </c>
      <c r="T43" s="428">
        <v>102248</v>
      </c>
      <c r="U43" s="428">
        <v>102248</v>
      </c>
      <c r="V43" s="428">
        <v>102248</v>
      </c>
      <c r="W43" s="428">
        <v>945770</v>
      </c>
      <c r="X43" s="344">
        <f t="shared" si="1"/>
        <v>2242746</v>
      </c>
      <c r="Y43" s="420"/>
    </row>
    <row r="44" spans="1:25" s="437" customFormat="1" ht="23.25" customHeight="1">
      <c r="A44" s="540"/>
      <c r="B44" s="422" t="s">
        <v>985</v>
      </c>
      <c r="C44" s="599"/>
      <c r="D44" s="595"/>
      <c r="E44" s="609"/>
      <c r="F44" s="538"/>
      <c r="G44" s="412">
        <v>0.04369</v>
      </c>
      <c r="H44" s="426">
        <v>100290</v>
      </c>
      <c r="I44" s="426">
        <v>98865</v>
      </c>
      <c r="J44" s="426">
        <v>88325</v>
      </c>
      <c r="K44" s="426">
        <v>82975</v>
      </c>
      <c r="L44" s="426">
        <v>79385</v>
      </c>
      <c r="M44" s="426">
        <v>75230</v>
      </c>
      <c r="N44" s="426">
        <v>71290</v>
      </c>
      <c r="O44" s="426">
        <v>67350</v>
      </c>
      <c r="P44" s="426">
        <v>63585</v>
      </c>
      <c r="Q44" s="426">
        <v>59470</v>
      </c>
      <c r="R44" s="426">
        <v>55530</v>
      </c>
      <c r="S44" s="426">
        <v>51590</v>
      </c>
      <c r="T44" s="426">
        <v>47785</v>
      </c>
      <c r="U44" s="426">
        <v>43715</v>
      </c>
      <c r="V44" s="426">
        <v>39775</v>
      </c>
      <c r="W44" s="426">
        <v>181480</v>
      </c>
      <c r="X44" s="339">
        <f t="shared" si="1"/>
        <v>1206640</v>
      </c>
      <c r="Y44" s="420"/>
    </row>
    <row r="45" spans="1:25" s="437" customFormat="1" ht="19.5" customHeight="1">
      <c r="A45" s="539">
        <v>19</v>
      </c>
      <c r="B45" s="347" t="s">
        <v>741</v>
      </c>
      <c r="C45" s="598" t="s">
        <v>226</v>
      </c>
      <c r="D45" s="594">
        <v>647</v>
      </c>
      <c r="E45" s="596">
        <v>1632032</v>
      </c>
      <c r="F45" s="537" t="s">
        <v>984</v>
      </c>
      <c r="G45" s="417" t="s">
        <v>734</v>
      </c>
      <c r="H45" s="428">
        <v>20000</v>
      </c>
      <c r="I45" s="428">
        <v>40000</v>
      </c>
      <c r="J45" s="428">
        <v>60000</v>
      </c>
      <c r="K45" s="428">
        <v>65168</v>
      </c>
      <c r="L45" s="428">
        <v>65168</v>
      </c>
      <c r="M45" s="428">
        <v>65168</v>
      </c>
      <c r="N45" s="428">
        <v>65168</v>
      </c>
      <c r="O45" s="428">
        <v>65168</v>
      </c>
      <c r="P45" s="428">
        <v>65168</v>
      </c>
      <c r="Q45" s="428">
        <v>65168</v>
      </c>
      <c r="R45" s="428">
        <v>65168</v>
      </c>
      <c r="S45" s="428">
        <v>65168</v>
      </c>
      <c r="T45" s="428">
        <v>65168</v>
      </c>
      <c r="U45" s="428">
        <v>65168</v>
      </c>
      <c r="V45" s="428">
        <v>65168</v>
      </c>
      <c r="W45" s="428">
        <v>602785</v>
      </c>
      <c r="X45" s="344">
        <f t="shared" si="1"/>
        <v>1504801</v>
      </c>
      <c r="Y45" s="420"/>
    </row>
    <row r="46" spans="1:25" s="437" customFormat="1" ht="21" customHeight="1">
      <c r="A46" s="540"/>
      <c r="B46" s="422" t="s">
        <v>983</v>
      </c>
      <c r="C46" s="599"/>
      <c r="D46" s="595"/>
      <c r="E46" s="597"/>
      <c r="F46" s="538"/>
      <c r="G46" s="412">
        <v>0.04369</v>
      </c>
      <c r="H46" s="426">
        <v>67170</v>
      </c>
      <c r="I46" s="426">
        <v>65545</v>
      </c>
      <c r="J46" s="426">
        <v>57455</v>
      </c>
      <c r="K46" s="426">
        <v>52960</v>
      </c>
      <c r="L46" s="426">
        <v>50595</v>
      </c>
      <c r="M46" s="426">
        <v>47945</v>
      </c>
      <c r="N46" s="426">
        <v>45435</v>
      </c>
      <c r="O46" s="426">
        <v>42925</v>
      </c>
      <c r="P46" s="426">
        <v>40525</v>
      </c>
      <c r="Q46" s="426">
        <v>37905</v>
      </c>
      <c r="R46" s="426">
        <v>35395</v>
      </c>
      <c r="S46" s="426">
        <v>32885</v>
      </c>
      <c r="T46" s="426">
        <v>30455</v>
      </c>
      <c r="U46" s="426">
        <v>27860</v>
      </c>
      <c r="V46" s="426">
        <v>25350</v>
      </c>
      <c r="W46" s="426">
        <v>115665</v>
      </c>
      <c r="X46" s="339">
        <f t="shared" si="1"/>
        <v>776070</v>
      </c>
      <c r="Y46" s="420"/>
    </row>
    <row r="47" spans="1:25" s="437" customFormat="1" ht="27" customHeight="1">
      <c r="A47" s="539">
        <v>20</v>
      </c>
      <c r="B47" s="347" t="s">
        <v>741</v>
      </c>
      <c r="C47" s="598" t="s">
        <v>982</v>
      </c>
      <c r="D47" s="594">
        <v>649</v>
      </c>
      <c r="E47" s="608">
        <f>1181972+164205</f>
        <v>1346177</v>
      </c>
      <c r="F47" s="537" t="s">
        <v>981</v>
      </c>
      <c r="G47" s="417" t="s">
        <v>734</v>
      </c>
      <c r="H47" s="428">
        <v>10000</v>
      </c>
      <c r="I47" s="428">
        <v>20000</v>
      </c>
      <c r="J47" s="428">
        <v>40000</v>
      </c>
      <c r="K47" s="428">
        <v>51324</v>
      </c>
      <c r="L47" s="428">
        <v>59336</v>
      </c>
      <c r="M47" s="428">
        <v>59336</v>
      </c>
      <c r="N47" s="428">
        <v>59336</v>
      </c>
      <c r="O47" s="428">
        <v>59336</v>
      </c>
      <c r="P47" s="428">
        <v>59336</v>
      </c>
      <c r="Q47" s="428">
        <v>59336</v>
      </c>
      <c r="R47" s="428">
        <v>59336</v>
      </c>
      <c r="S47" s="428">
        <v>59336</v>
      </c>
      <c r="T47" s="428">
        <v>59336</v>
      </c>
      <c r="U47" s="428">
        <v>59336</v>
      </c>
      <c r="V47" s="428">
        <v>59336</v>
      </c>
      <c r="W47" s="428">
        <v>622993</v>
      </c>
      <c r="X47" s="344">
        <f t="shared" si="1"/>
        <v>1397013</v>
      </c>
      <c r="Y47" s="420"/>
    </row>
    <row r="48" spans="1:25" s="437" customFormat="1" ht="27.75" customHeight="1">
      <c r="A48" s="540"/>
      <c r="B48" s="422" t="s">
        <v>980</v>
      </c>
      <c r="C48" s="599"/>
      <c r="D48" s="595"/>
      <c r="E48" s="609"/>
      <c r="F48" s="538"/>
      <c r="G48" s="412">
        <v>0.04364</v>
      </c>
      <c r="H48" s="426">
        <v>59735</v>
      </c>
      <c r="I48" s="426">
        <v>58730</v>
      </c>
      <c r="J48" s="426">
        <v>57030</v>
      </c>
      <c r="K48" s="426">
        <v>48515</v>
      </c>
      <c r="L48" s="426">
        <v>46625</v>
      </c>
      <c r="M48" s="426">
        <v>44225</v>
      </c>
      <c r="N48" s="426">
        <v>41940</v>
      </c>
      <c r="O48" s="426">
        <v>39655</v>
      </c>
      <c r="P48" s="426">
        <v>37475</v>
      </c>
      <c r="Q48" s="426">
        <v>35085</v>
      </c>
      <c r="R48" s="426">
        <v>32795</v>
      </c>
      <c r="S48" s="426">
        <v>30510</v>
      </c>
      <c r="T48" s="426">
        <v>28305</v>
      </c>
      <c r="U48" s="426">
        <v>25940</v>
      </c>
      <c r="V48" s="426">
        <v>23655</v>
      </c>
      <c r="W48" s="426">
        <v>110870</v>
      </c>
      <c r="X48" s="339">
        <f t="shared" si="1"/>
        <v>721090</v>
      </c>
      <c r="Y48" s="420"/>
    </row>
    <row r="49" spans="1:25" s="437" customFormat="1" ht="21" customHeight="1">
      <c r="A49" s="539">
        <v>21</v>
      </c>
      <c r="B49" s="347" t="s">
        <v>741</v>
      </c>
      <c r="C49" s="598" t="s">
        <v>979</v>
      </c>
      <c r="D49" s="594">
        <v>650</v>
      </c>
      <c r="E49" s="596">
        <f>1108154-97425-61240.54</f>
        <v>949488.46</v>
      </c>
      <c r="F49" s="537" t="s">
        <v>978</v>
      </c>
      <c r="G49" s="417" t="s">
        <v>734</v>
      </c>
      <c r="H49" s="428">
        <v>10000</v>
      </c>
      <c r="I49" s="428">
        <v>16000</v>
      </c>
      <c r="J49" s="428">
        <v>28000</v>
      </c>
      <c r="K49" s="428">
        <v>35944</v>
      </c>
      <c r="L49" s="428">
        <v>35944</v>
      </c>
      <c r="M49" s="428">
        <v>35944</v>
      </c>
      <c r="N49" s="428">
        <v>35944</v>
      </c>
      <c r="O49" s="428">
        <v>35944</v>
      </c>
      <c r="P49" s="428">
        <v>35944</v>
      </c>
      <c r="Q49" s="428">
        <v>35944</v>
      </c>
      <c r="R49" s="428">
        <v>35944</v>
      </c>
      <c r="S49" s="428">
        <v>35944</v>
      </c>
      <c r="T49" s="428">
        <v>35944</v>
      </c>
      <c r="U49" s="428">
        <v>35944</v>
      </c>
      <c r="V49" s="428">
        <v>35944</v>
      </c>
      <c r="W49" s="428">
        <v>332462</v>
      </c>
      <c r="X49" s="344">
        <f t="shared" si="1"/>
        <v>817790</v>
      </c>
      <c r="Y49" s="420"/>
    </row>
    <row r="50" spans="1:25" s="437" customFormat="1" ht="21" customHeight="1">
      <c r="A50" s="540"/>
      <c r="B50" s="422" t="s">
        <v>977</v>
      </c>
      <c r="C50" s="599"/>
      <c r="D50" s="595"/>
      <c r="E50" s="597"/>
      <c r="F50" s="538"/>
      <c r="G50" s="412">
        <v>0.04364</v>
      </c>
      <c r="H50" s="426">
        <v>36485</v>
      </c>
      <c r="I50" s="426">
        <v>35710</v>
      </c>
      <c r="J50" s="426">
        <v>31513</v>
      </c>
      <c r="K50" s="426">
        <v>29200</v>
      </c>
      <c r="L50" s="426">
        <v>27910</v>
      </c>
      <c r="M50" s="426">
        <v>26445</v>
      </c>
      <c r="N50" s="426">
        <v>25060</v>
      </c>
      <c r="O50" s="426">
        <v>23675</v>
      </c>
      <c r="P50" s="426">
        <v>22355</v>
      </c>
      <c r="Q50" s="426">
        <v>20905</v>
      </c>
      <c r="R50" s="426">
        <v>19520</v>
      </c>
      <c r="S50" s="426">
        <v>18135</v>
      </c>
      <c r="T50" s="426">
        <v>16800</v>
      </c>
      <c r="U50" s="426">
        <v>15370</v>
      </c>
      <c r="V50" s="426">
        <v>13985</v>
      </c>
      <c r="W50" s="426">
        <v>63795</v>
      </c>
      <c r="X50" s="339">
        <f t="shared" si="1"/>
        <v>426863</v>
      </c>
      <c r="Y50" s="420"/>
    </row>
    <row r="51" spans="1:25" s="437" customFormat="1" ht="16.5" customHeight="1">
      <c r="A51" s="539">
        <v>22</v>
      </c>
      <c r="B51" s="347" t="s">
        <v>741</v>
      </c>
      <c r="C51" s="598" t="s">
        <v>976</v>
      </c>
      <c r="D51" s="594">
        <v>651</v>
      </c>
      <c r="E51" s="596">
        <f>225000-4003.53</f>
        <v>220996.47</v>
      </c>
      <c r="F51" s="537" t="s">
        <v>975</v>
      </c>
      <c r="G51" s="417" t="s">
        <v>734</v>
      </c>
      <c r="H51" s="428">
        <v>6000</v>
      </c>
      <c r="I51" s="428">
        <v>8000</v>
      </c>
      <c r="J51" s="428">
        <v>16380</v>
      </c>
      <c r="K51" s="428">
        <v>16380</v>
      </c>
      <c r="L51" s="428">
        <v>16380</v>
      </c>
      <c r="M51" s="428">
        <v>16380</v>
      </c>
      <c r="N51" s="428">
        <v>16380</v>
      </c>
      <c r="O51" s="428">
        <v>16380</v>
      </c>
      <c r="P51" s="428">
        <v>16380</v>
      </c>
      <c r="Q51" s="428">
        <v>16380</v>
      </c>
      <c r="R51" s="428">
        <v>16380</v>
      </c>
      <c r="S51" s="428">
        <v>16380</v>
      </c>
      <c r="T51" s="427">
        <v>16380</v>
      </c>
      <c r="U51" s="427">
        <v>16380</v>
      </c>
      <c r="V51" s="427">
        <v>4061.47</v>
      </c>
      <c r="W51" s="427"/>
      <c r="X51" s="344">
        <f t="shared" si="1"/>
        <v>214621.47</v>
      </c>
      <c r="Y51" s="420"/>
    </row>
    <row r="52" spans="1:25" s="437" customFormat="1" ht="18" customHeight="1">
      <c r="A52" s="540"/>
      <c r="B52" s="422" t="s">
        <v>974</v>
      </c>
      <c r="C52" s="599"/>
      <c r="D52" s="595"/>
      <c r="E52" s="597"/>
      <c r="F52" s="538"/>
      <c r="G52" s="412">
        <v>0.04364</v>
      </c>
      <c r="H52" s="438">
        <v>9550</v>
      </c>
      <c r="I52" s="438">
        <v>9200</v>
      </c>
      <c r="J52" s="438">
        <v>7920</v>
      </c>
      <c r="K52" s="438">
        <v>7005</v>
      </c>
      <c r="L52" s="438">
        <v>6390</v>
      </c>
      <c r="M52" s="438">
        <v>5740</v>
      </c>
      <c r="N52" s="438">
        <v>5110</v>
      </c>
      <c r="O52" s="438">
        <v>4480</v>
      </c>
      <c r="P52" s="438">
        <v>3860</v>
      </c>
      <c r="Q52" s="438">
        <v>3215</v>
      </c>
      <c r="R52" s="438">
        <v>2585</v>
      </c>
      <c r="S52" s="438">
        <v>1955</v>
      </c>
      <c r="T52" s="438">
        <v>1330</v>
      </c>
      <c r="U52" s="438">
        <v>695</v>
      </c>
      <c r="V52" s="438">
        <v>110</v>
      </c>
      <c r="W52" s="438"/>
      <c r="X52" s="339">
        <f t="shared" si="1"/>
        <v>69145</v>
      </c>
      <c r="Y52" s="420"/>
    </row>
    <row r="53" spans="1:25" s="437" customFormat="1" ht="13.5" customHeight="1">
      <c r="A53" s="539">
        <v>23</v>
      </c>
      <c r="B53" s="347" t="s">
        <v>741</v>
      </c>
      <c r="C53" s="598" t="s">
        <v>973</v>
      </c>
      <c r="D53" s="594">
        <v>652</v>
      </c>
      <c r="E53" s="596">
        <f>888438-1.11</f>
        <v>888436.89</v>
      </c>
      <c r="F53" s="537" t="s">
        <v>972</v>
      </c>
      <c r="G53" s="417" t="s">
        <v>734</v>
      </c>
      <c r="H53" s="428">
        <v>10000</v>
      </c>
      <c r="I53" s="428">
        <v>20000</v>
      </c>
      <c r="J53" s="428">
        <v>40000</v>
      </c>
      <c r="K53" s="428">
        <v>70384</v>
      </c>
      <c r="L53" s="428">
        <v>70384</v>
      </c>
      <c r="M53" s="428">
        <v>70384</v>
      </c>
      <c r="N53" s="428">
        <v>70384</v>
      </c>
      <c r="O53" s="428">
        <v>70384</v>
      </c>
      <c r="P53" s="428">
        <v>70384</v>
      </c>
      <c r="Q53" s="428">
        <v>70384</v>
      </c>
      <c r="R53" s="428">
        <v>70384</v>
      </c>
      <c r="S53" s="428">
        <v>70384</v>
      </c>
      <c r="T53" s="427">
        <v>70384</v>
      </c>
      <c r="U53" s="427">
        <v>70384</v>
      </c>
      <c r="V53" s="427">
        <v>35212.89</v>
      </c>
      <c r="W53" s="427"/>
      <c r="X53" s="344">
        <f t="shared" si="1"/>
        <v>879436.89</v>
      </c>
      <c r="Y53" s="420"/>
    </row>
    <row r="54" spans="1:25" s="437" customFormat="1" ht="13.5" customHeight="1">
      <c r="A54" s="540"/>
      <c r="B54" s="440" t="s">
        <v>971</v>
      </c>
      <c r="C54" s="605"/>
      <c r="D54" s="606"/>
      <c r="E54" s="607"/>
      <c r="F54" s="538"/>
      <c r="G54" s="412">
        <v>0.04369</v>
      </c>
      <c r="H54" s="426">
        <v>39280</v>
      </c>
      <c r="I54" s="426">
        <v>39505</v>
      </c>
      <c r="J54" s="426">
        <v>37370</v>
      </c>
      <c r="K54" s="426">
        <v>32320</v>
      </c>
      <c r="L54" s="426">
        <v>29615</v>
      </c>
      <c r="M54" s="426">
        <v>26680</v>
      </c>
      <c r="N54" s="426">
        <v>23825</v>
      </c>
      <c r="O54" s="426">
        <v>20970</v>
      </c>
      <c r="P54" s="426">
        <v>18170</v>
      </c>
      <c r="Q54" s="426">
        <v>15265</v>
      </c>
      <c r="R54" s="426">
        <v>12410</v>
      </c>
      <c r="S54" s="426">
        <v>9555</v>
      </c>
      <c r="T54" s="426">
        <v>6720</v>
      </c>
      <c r="U54" s="426">
        <v>3845</v>
      </c>
      <c r="V54" s="426">
        <v>1010</v>
      </c>
      <c r="W54" s="426"/>
      <c r="X54" s="339">
        <f t="shared" si="1"/>
        <v>316540</v>
      </c>
      <c r="Y54" s="420"/>
    </row>
    <row r="55" spans="1:25" s="445" customFormat="1" ht="21" customHeight="1">
      <c r="A55" s="539">
        <v>24</v>
      </c>
      <c r="B55" s="347" t="s">
        <v>741</v>
      </c>
      <c r="C55" s="598" t="s">
        <v>970</v>
      </c>
      <c r="D55" s="594">
        <v>653</v>
      </c>
      <c r="E55" s="596">
        <f>74835+24822-0.26+294955-28536.73</f>
        <v>366075.01</v>
      </c>
      <c r="F55" s="537" t="s">
        <v>969</v>
      </c>
      <c r="G55" s="417" t="s">
        <v>734</v>
      </c>
      <c r="H55" s="446">
        <v>27156</v>
      </c>
      <c r="I55" s="446">
        <v>27156</v>
      </c>
      <c r="J55" s="446">
        <v>27156</v>
      </c>
      <c r="K55" s="446">
        <v>27156</v>
      </c>
      <c r="L55" s="447">
        <v>13572</v>
      </c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344">
        <f t="shared" si="1"/>
        <v>122196</v>
      </c>
      <c r="Y55" s="420"/>
    </row>
    <row r="56" spans="1:25" s="445" customFormat="1" ht="19.5" customHeight="1">
      <c r="A56" s="540"/>
      <c r="B56" s="422" t="s">
        <v>968</v>
      </c>
      <c r="C56" s="599"/>
      <c r="D56" s="595"/>
      <c r="E56" s="597"/>
      <c r="F56" s="538"/>
      <c r="G56" s="412">
        <v>0.04369</v>
      </c>
      <c r="H56" s="426">
        <v>5280</v>
      </c>
      <c r="I56" s="426">
        <v>4045</v>
      </c>
      <c r="J56" s="426">
        <v>2560</v>
      </c>
      <c r="K56" s="426">
        <v>1410</v>
      </c>
      <c r="L56" s="426">
        <v>375</v>
      </c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339">
        <f t="shared" si="1"/>
        <v>13670</v>
      </c>
      <c r="Y56" s="420"/>
    </row>
    <row r="57" spans="1:25" s="437" customFormat="1" ht="18" customHeight="1">
      <c r="A57" s="539">
        <v>25</v>
      </c>
      <c r="B57" s="444" t="s">
        <v>741</v>
      </c>
      <c r="C57" s="610" t="s">
        <v>967</v>
      </c>
      <c r="D57" s="611">
        <v>654</v>
      </c>
      <c r="E57" s="612">
        <v>74150</v>
      </c>
      <c r="F57" s="537" t="s">
        <v>966</v>
      </c>
      <c r="G57" s="417" t="s">
        <v>734</v>
      </c>
      <c r="H57" s="428">
        <v>4380</v>
      </c>
      <c r="I57" s="428">
        <v>4760</v>
      </c>
      <c r="J57" s="428">
        <v>4760</v>
      </c>
      <c r="K57" s="428">
        <v>4760</v>
      </c>
      <c r="L57" s="428">
        <v>4760</v>
      </c>
      <c r="M57" s="428">
        <v>4760</v>
      </c>
      <c r="N57" s="428">
        <v>4760</v>
      </c>
      <c r="O57" s="428">
        <v>4760</v>
      </c>
      <c r="P57" s="428">
        <v>4760</v>
      </c>
      <c r="Q57" s="428">
        <v>4760</v>
      </c>
      <c r="R57" s="428">
        <v>4760</v>
      </c>
      <c r="S57" s="428">
        <v>4760</v>
      </c>
      <c r="T57" s="428">
        <v>4760</v>
      </c>
      <c r="U57" s="428">
        <v>4760</v>
      </c>
      <c r="V57" s="428">
        <v>2390</v>
      </c>
      <c r="W57" s="428"/>
      <c r="X57" s="344">
        <f t="shared" si="1"/>
        <v>68650</v>
      </c>
      <c r="Y57" s="420"/>
    </row>
    <row r="58" spans="1:25" s="437" customFormat="1" ht="18" customHeight="1">
      <c r="A58" s="540"/>
      <c r="B58" s="422" t="s">
        <v>965</v>
      </c>
      <c r="C58" s="599"/>
      <c r="D58" s="595"/>
      <c r="E58" s="597"/>
      <c r="F58" s="538"/>
      <c r="G58" s="412">
        <v>0.04369</v>
      </c>
      <c r="H58" s="426">
        <v>3045</v>
      </c>
      <c r="I58" s="426">
        <v>2900</v>
      </c>
      <c r="J58" s="426">
        <v>2610</v>
      </c>
      <c r="K58" s="426">
        <v>2195</v>
      </c>
      <c r="L58" s="426">
        <v>2005</v>
      </c>
      <c r="M58" s="426">
        <v>1805</v>
      </c>
      <c r="N58" s="426">
        <v>1615</v>
      </c>
      <c r="O58" s="426">
        <v>1420</v>
      </c>
      <c r="P58" s="426">
        <v>1230</v>
      </c>
      <c r="Q58" s="426">
        <v>1035</v>
      </c>
      <c r="R58" s="426">
        <v>840</v>
      </c>
      <c r="S58" s="426">
        <v>650</v>
      </c>
      <c r="T58" s="426">
        <v>455</v>
      </c>
      <c r="U58" s="426">
        <v>265</v>
      </c>
      <c r="V58" s="426">
        <v>70</v>
      </c>
      <c r="W58" s="426"/>
      <c r="X58" s="339">
        <f t="shared" si="1"/>
        <v>22140</v>
      </c>
      <c r="Y58" s="420"/>
    </row>
    <row r="59" spans="1:25" s="437" customFormat="1" ht="17.25" customHeight="1">
      <c r="A59" s="539">
        <v>26</v>
      </c>
      <c r="B59" s="347" t="s">
        <v>741</v>
      </c>
      <c r="C59" s="598" t="s">
        <v>964</v>
      </c>
      <c r="D59" s="594">
        <v>655</v>
      </c>
      <c r="E59" s="596">
        <v>250000</v>
      </c>
      <c r="F59" s="537" t="s">
        <v>963</v>
      </c>
      <c r="G59" s="417" t="s">
        <v>734</v>
      </c>
      <c r="H59" s="428">
        <v>3000</v>
      </c>
      <c r="I59" s="428">
        <v>6000</v>
      </c>
      <c r="J59" s="428">
        <v>18644</v>
      </c>
      <c r="K59" s="428">
        <v>18644</v>
      </c>
      <c r="L59" s="428">
        <v>18644</v>
      </c>
      <c r="M59" s="428">
        <v>18644</v>
      </c>
      <c r="N59" s="428">
        <v>18644</v>
      </c>
      <c r="O59" s="428">
        <v>18644</v>
      </c>
      <c r="P59" s="428">
        <v>18644</v>
      </c>
      <c r="Q59" s="428">
        <v>18644</v>
      </c>
      <c r="R59" s="428">
        <v>18644</v>
      </c>
      <c r="S59" s="428">
        <v>18644</v>
      </c>
      <c r="T59" s="428">
        <v>18644</v>
      </c>
      <c r="U59" s="428">
        <v>18644</v>
      </c>
      <c r="V59" s="428">
        <v>13972</v>
      </c>
      <c r="W59" s="428"/>
      <c r="X59" s="344">
        <f t="shared" si="1"/>
        <v>246700</v>
      </c>
      <c r="Y59" s="420"/>
    </row>
    <row r="60" spans="1:25" s="437" customFormat="1" ht="22.5" customHeight="1">
      <c r="A60" s="540"/>
      <c r="B60" s="422" t="s">
        <v>962</v>
      </c>
      <c r="C60" s="599"/>
      <c r="D60" s="595"/>
      <c r="E60" s="597"/>
      <c r="F60" s="538"/>
      <c r="G60" s="412">
        <v>0.04369</v>
      </c>
      <c r="H60" s="426">
        <v>11030</v>
      </c>
      <c r="I60" s="426">
        <v>11075</v>
      </c>
      <c r="J60" s="426">
        <v>10395</v>
      </c>
      <c r="K60" s="426">
        <v>8770</v>
      </c>
      <c r="L60" s="426">
        <v>8035</v>
      </c>
      <c r="M60" s="426">
        <v>7260</v>
      </c>
      <c r="N60" s="426">
        <v>6500</v>
      </c>
      <c r="O60" s="426">
        <v>5745</v>
      </c>
      <c r="P60" s="426">
        <v>5005</v>
      </c>
      <c r="Q60" s="426">
        <v>4235</v>
      </c>
      <c r="R60" s="426">
        <v>3475</v>
      </c>
      <c r="S60" s="426">
        <v>2720</v>
      </c>
      <c r="T60" s="426">
        <v>1970</v>
      </c>
      <c r="U60" s="426">
        <v>1210</v>
      </c>
      <c r="V60" s="426">
        <v>450</v>
      </c>
      <c r="W60" s="426"/>
      <c r="X60" s="339">
        <f t="shared" si="1"/>
        <v>87875</v>
      </c>
      <c r="Y60" s="420"/>
    </row>
    <row r="61" spans="1:25" s="437" customFormat="1" ht="21" customHeight="1">
      <c r="A61" s="539">
        <v>27</v>
      </c>
      <c r="B61" s="347" t="s">
        <v>741</v>
      </c>
      <c r="C61" s="598" t="s">
        <v>961</v>
      </c>
      <c r="D61" s="594">
        <v>656</v>
      </c>
      <c r="E61" s="596">
        <v>4203541</v>
      </c>
      <c r="F61" s="537" t="s">
        <v>960</v>
      </c>
      <c r="G61" s="417" t="s">
        <v>734</v>
      </c>
      <c r="H61" s="443">
        <v>5000</v>
      </c>
      <c r="I61" s="443">
        <v>10000</v>
      </c>
      <c r="J61" s="443">
        <v>20000</v>
      </c>
      <c r="K61" s="443">
        <v>50000</v>
      </c>
      <c r="L61" s="443">
        <v>62000</v>
      </c>
      <c r="M61" s="443">
        <v>80000</v>
      </c>
      <c r="N61" s="443">
        <v>223540</v>
      </c>
      <c r="O61" s="443">
        <v>223540</v>
      </c>
      <c r="P61" s="443">
        <v>223540</v>
      </c>
      <c r="Q61" s="442">
        <v>223540</v>
      </c>
      <c r="R61" s="442">
        <v>223540</v>
      </c>
      <c r="S61" s="442">
        <v>223540</v>
      </c>
      <c r="T61" s="428">
        <v>223540</v>
      </c>
      <c r="U61" s="428">
        <v>223540</v>
      </c>
      <c r="V61" s="428">
        <v>223540</v>
      </c>
      <c r="W61" s="428">
        <v>1955931</v>
      </c>
      <c r="X61" s="344">
        <f t="shared" si="1"/>
        <v>4194791</v>
      </c>
      <c r="Y61" s="420"/>
    </row>
    <row r="62" spans="1:25" s="437" customFormat="1" ht="20.25" customHeight="1">
      <c r="A62" s="540"/>
      <c r="B62" s="422" t="s">
        <v>959</v>
      </c>
      <c r="C62" s="599"/>
      <c r="D62" s="595"/>
      <c r="E62" s="597"/>
      <c r="F62" s="538"/>
      <c r="G62" s="412">
        <v>0.04395</v>
      </c>
      <c r="H62" s="441">
        <v>184325</v>
      </c>
      <c r="I62" s="441">
        <v>191080</v>
      </c>
      <c r="J62" s="441">
        <v>190540</v>
      </c>
      <c r="K62" s="441">
        <v>168325</v>
      </c>
      <c r="L62" s="441">
        <v>166720</v>
      </c>
      <c r="M62" s="441">
        <v>163620</v>
      </c>
      <c r="N62" s="441">
        <v>159200</v>
      </c>
      <c r="O62" s="441">
        <v>150455</v>
      </c>
      <c r="P62" s="441">
        <v>141780</v>
      </c>
      <c r="Q62" s="441">
        <v>132325</v>
      </c>
      <c r="R62" s="441">
        <v>123260</v>
      </c>
      <c r="S62" s="441">
        <v>114190</v>
      </c>
      <c r="T62" s="426">
        <v>105420</v>
      </c>
      <c r="U62" s="426">
        <v>96060</v>
      </c>
      <c r="V62" s="426">
        <v>86995</v>
      </c>
      <c r="W62" s="426">
        <v>375260</v>
      </c>
      <c r="X62" s="339">
        <f t="shared" si="1"/>
        <v>2549555</v>
      </c>
      <c r="Y62" s="420"/>
    </row>
    <row r="63" spans="1:25" s="437" customFormat="1" ht="27.75" customHeight="1">
      <c r="A63" s="539">
        <v>28</v>
      </c>
      <c r="B63" s="347" t="s">
        <v>741</v>
      </c>
      <c r="C63" s="598" t="s">
        <v>958</v>
      </c>
      <c r="D63" s="594">
        <v>657</v>
      </c>
      <c r="E63" s="608">
        <v>546548</v>
      </c>
      <c r="F63" s="537" t="s">
        <v>957</v>
      </c>
      <c r="G63" s="417" t="s">
        <v>734</v>
      </c>
      <c r="H63" s="428">
        <v>70472</v>
      </c>
      <c r="I63" s="428">
        <v>70472</v>
      </c>
      <c r="J63" s="428">
        <v>70472</v>
      </c>
      <c r="K63" s="428">
        <v>70472</v>
      </c>
      <c r="L63" s="427">
        <f>52844-5352.46-2293.91-53.55-22.95-1124.47</f>
        <v>43996.66</v>
      </c>
      <c r="M63" s="428"/>
      <c r="N63" s="428"/>
      <c r="O63" s="428"/>
      <c r="P63" s="428"/>
      <c r="Q63" s="443"/>
      <c r="R63" s="443"/>
      <c r="S63" s="443"/>
      <c r="T63" s="442"/>
      <c r="U63" s="442"/>
      <c r="V63" s="442"/>
      <c r="W63" s="442"/>
      <c r="X63" s="344">
        <f t="shared" si="1"/>
        <v>325884.66000000003</v>
      </c>
      <c r="Y63" s="420"/>
    </row>
    <row r="64" spans="1:25" s="437" customFormat="1" ht="25.5" customHeight="1">
      <c r="A64" s="540"/>
      <c r="B64" s="422" t="s">
        <v>956</v>
      </c>
      <c r="C64" s="599"/>
      <c r="D64" s="595"/>
      <c r="E64" s="609"/>
      <c r="F64" s="538"/>
      <c r="G64" s="412">
        <v>0.04242</v>
      </c>
      <c r="H64" s="426">
        <v>12690</v>
      </c>
      <c r="I64" s="426">
        <v>10665</v>
      </c>
      <c r="J64" s="426">
        <v>7590</v>
      </c>
      <c r="K64" s="426">
        <v>4205</v>
      </c>
      <c r="L64" s="426">
        <v>1360</v>
      </c>
      <c r="M64" s="426"/>
      <c r="N64" s="426"/>
      <c r="O64" s="426"/>
      <c r="P64" s="426"/>
      <c r="Q64" s="441"/>
      <c r="R64" s="441"/>
      <c r="S64" s="441"/>
      <c r="T64" s="441"/>
      <c r="U64" s="441"/>
      <c r="V64" s="441"/>
      <c r="W64" s="441"/>
      <c r="X64" s="339">
        <f t="shared" si="1"/>
        <v>36510</v>
      </c>
      <c r="Y64" s="420"/>
    </row>
    <row r="65" spans="1:25" s="437" customFormat="1" ht="18.75" customHeight="1">
      <c r="A65" s="539">
        <v>29</v>
      </c>
      <c r="B65" s="347" t="s">
        <v>741</v>
      </c>
      <c r="C65" s="598" t="s">
        <v>955</v>
      </c>
      <c r="D65" s="594">
        <v>658</v>
      </c>
      <c r="E65" s="596">
        <f>149917-0.42</f>
        <v>149916.58</v>
      </c>
      <c r="F65" s="537" t="s">
        <v>954</v>
      </c>
      <c r="G65" s="417" t="s">
        <v>734</v>
      </c>
      <c r="H65" s="428">
        <v>2000</v>
      </c>
      <c r="I65" s="428">
        <v>2000</v>
      </c>
      <c r="J65" s="428">
        <v>11272</v>
      </c>
      <c r="K65" s="428">
        <v>11272</v>
      </c>
      <c r="L65" s="428">
        <v>11272</v>
      </c>
      <c r="M65" s="428">
        <v>11272</v>
      </c>
      <c r="N65" s="428">
        <v>11272</v>
      </c>
      <c r="O65" s="428">
        <v>11272</v>
      </c>
      <c r="P65" s="428">
        <v>11272</v>
      </c>
      <c r="Q65" s="428">
        <v>11272</v>
      </c>
      <c r="R65" s="428">
        <f>11272</f>
        <v>11272</v>
      </c>
      <c r="S65" s="428">
        <v>11272</v>
      </c>
      <c r="T65" s="427">
        <v>11272</v>
      </c>
      <c r="U65" s="427">
        <v>11272</v>
      </c>
      <c r="V65" s="427">
        <v>8452.58</v>
      </c>
      <c r="W65" s="427"/>
      <c r="X65" s="344">
        <f t="shared" si="1"/>
        <v>147716.58</v>
      </c>
      <c r="Y65" s="420"/>
    </row>
    <row r="66" spans="1:25" s="437" customFormat="1" ht="18.75" customHeight="1">
      <c r="A66" s="540"/>
      <c r="B66" s="422" t="s">
        <v>953</v>
      </c>
      <c r="C66" s="599"/>
      <c r="D66" s="595"/>
      <c r="E66" s="597"/>
      <c r="F66" s="538"/>
      <c r="G66" s="412">
        <v>0.04238</v>
      </c>
      <c r="H66" s="426">
        <v>5985</v>
      </c>
      <c r="I66" s="426">
        <v>6340</v>
      </c>
      <c r="J66" s="426">
        <v>6170</v>
      </c>
      <c r="K66" s="426">
        <v>5305</v>
      </c>
      <c r="L66" s="426">
        <v>4860</v>
      </c>
      <c r="M66" s="426">
        <v>4390</v>
      </c>
      <c r="N66" s="426">
        <v>3930</v>
      </c>
      <c r="O66" s="426">
        <v>3475</v>
      </c>
      <c r="P66" s="426">
        <v>3025</v>
      </c>
      <c r="Q66" s="426">
        <v>2560</v>
      </c>
      <c r="R66" s="426">
        <v>2105</v>
      </c>
      <c r="S66" s="426">
        <v>1645</v>
      </c>
      <c r="T66" s="426">
        <v>1190</v>
      </c>
      <c r="U66" s="426">
        <v>730</v>
      </c>
      <c r="V66" s="426">
        <v>275</v>
      </c>
      <c r="W66" s="426"/>
      <c r="X66" s="339">
        <f t="shared" si="1"/>
        <v>51985</v>
      </c>
      <c r="Y66" s="420"/>
    </row>
    <row r="67" spans="1:25" s="437" customFormat="1" ht="13.5" customHeight="1">
      <c r="A67" s="539">
        <v>30</v>
      </c>
      <c r="B67" s="347" t="s">
        <v>741</v>
      </c>
      <c r="C67" s="598" t="s">
        <v>952</v>
      </c>
      <c r="D67" s="594">
        <v>660</v>
      </c>
      <c r="E67" s="596">
        <f>2825528-170000-458838.25</f>
        <v>2196689.75</v>
      </c>
      <c r="F67" s="537" t="s">
        <v>951</v>
      </c>
      <c r="G67" s="417" t="s">
        <v>734</v>
      </c>
      <c r="H67" s="443">
        <v>5000</v>
      </c>
      <c r="I67" s="443">
        <v>5000</v>
      </c>
      <c r="J67" s="443">
        <v>10000</v>
      </c>
      <c r="K67" s="443">
        <v>15000</v>
      </c>
      <c r="L67" s="442">
        <v>92432</v>
      </c>
      <c r="M67" s="442">
        <v>92432</v>
      </c>
      <c r="N67" s="442">
        <v>92432</v>
      </c>
      <c r="O67" s="442">
        <v>92432</v>
      </c>
      <c r="P67" s="442">
        <v>92432</v>
      </c>
      <c r="Q67" s="442">
        <v>92432</v>
      </c>
      <c r="R67" s="442">
        <v>92432</v>
      </c>
      <c r="S67" s="442">
        <v>92432</v>
      </c>
      <c r="T67" s="442">
        <v>92432</v>
      </c>
      <c r="U67" s="442">
        <v>92432</v>
      </c>
      <c r="V67" s="442">
        <v>92432</v>
      </c>
      <c r="W67" s="442">
        <v>947456</v>
      </c>
      <c r="X67" s="344">
        <f t="shared" si="1"/>
        <v>1999208</v>
      </c>
      <c r="Y67" s="420"/>
    </row>
    <row r="68" spans="1:25" s="437" customFormat="1" ht="13.5" customHeight="1">
      <c r="A68" s="540"/>
      <c r="B68" s="422" t="s">
        <v>950</v>
      </c>
      <c r="C68" s="599"/>
      <c r="D68" s="595"/>
      <c r="E68" s="597"/>
      <c r="F68" s="538"/>
      <c r="G68" s="412">
        <v>0.03818</v>
      </c>
      <c r="H68" s="441">
        <v>84500</v>
      </c>
      <c r="I68" s="441">
        <v>85890</v>
      </c>
      <c r="J68" s="441">
        <v>80600</v>
      </c>
      <c r="K68" s="441">
        <v>78160</v>
      </c>
      <c r="L68" s="441">
        <v>75170</v>
      </c>
      <c r="M68" s="441">
        <v>71570</v>
      </c>
      <c r="N68" s="441">
        <v>68010</v>
      </c>
      <c r="O68" s="441">
        <v>64445</v>
      </c>
      <c r="P68" s="441">
        <v>61055</v>
      </c>
      <c r="Q68" s="441">
        <v>57325</v>
      </c>
      <c r="R68" s="441">
        <v>53765</v>
      </c>
      <c r="S68" s="441">
        <v>50200</v>
      </c>
      <c r="T68" s="441">
        <v>46770</v>
      </c>
      <c r="U68" s="441">
        <v>43080</v>
      </c>
      <c r="V68" s="441">
        <v>39520</v>
      </c>
      <c r="W68" s="441">
        <v>200065</v>
      </c>
      <c r="X68" s="339">
        <f t="shared" si="1"/>
        <v>1160125</v>
      </c>
      <c r="Y68" s="420"/>
    </row>
    <row r="69" spans="1:25" s="437" customFormat="1" ht="20.25" customHeight="1">
      <c r="A69" s="539">
        <v>31</v>
      </c>
      <c r="B69" s="347" t="s">
        <v>741</v>
      </c>
      <c r="C69" s="598" t="s">
        <v>949</v>
      </c>
      <c r="D69" s="594">
        <v>661</v>
      </c>
      <c r="E69" s="596">
        <v>1946578</v>
      </c>
      <c r="F69" s="537" t="s">
        <v>948</v>
      </c>
      <c r="G69" s="417" t="s">
        <v>734</v>
      </c>
      <c r="H69" s="428">
        <v>5000</v>
      </c>
      <c r="I69" s="428">
        <v>5000</v>
      </c>
      <c r="J69" s="428">
        <v>10000</v>
      </c>
      <c r="K69" s="428">
        <v>15000</v>
      </c>
      <c r="L69" s="428">
        <v>73732</v>
      </c>
      <c r="M69" s="428">
        <v>73732</v>
      </c>
      <c r="N69" s="428">
        <v>73732</v>
      </c>
      <c r="O69" s="428">
        <v>73732</v>
      </c>
      <c r="P69" s="428">
        <v>73732</v>
      </c>
      <c r="Q69" s="428">
        <v>73732</v>
      </c>
      <c r="R69" s="428">
        <v>73732</v>
      </c>
      <c r="S69" s="428">
        <v>73732</v>
      </c>
      <c r="T69" s="427">
        <v>73732</v>
      </c>
      <c r="U69" s="427">
        <v>73732</v>
      </c>
      <c r="V69" s="427">
        <v>73732</v>
      </c>
      <c r="W69" s="427">
        <v>755780</v>
      </c>
      <c r="X69" s="344">
        <f t="shared" si="1"/>
        <v>1601832</v>
      </c>
      <c r="Y69" s="420"/>
    </row>
    <row r="70" spans="1:25" s="437" customFormat="1" ht="20.25" customHeight="1">
      <c r="A70" s="540"/>
      <c r="B70" s="422" t="s">
        <v>947</v>
      </c>
      <c r="C70" s="599"/>
      <c r="D70" s="595"/>
      <c r="E70" s="597"/>
      <c r="F70" s="538"/>
      <c r="G70" s="412">
        <v>0.04108</v>
      </c>
      <c r="H70" s="426">
        <v>70060</v>
      </c>
      <c r="I70" s="426">
        <v>68770</v>
      </c>
      <c r="J70" s="426">
        <v>64485</v>
      </c>
      <c r="K70" s="426">
        <v>62450</v>
      </c>
      <c r="L70" s="426">
        <v>59970</v>
      </c>
      <c r="M70" s="426">
        <v>57090</v>
      </c>
      <c r="N70" s="426">
        <v>54250</v>
      </c>
      <c r="O70" s="426">
        <v>51410</v>
      </c>
      <c r="P70" s="426">
        <v>48705</v>
      </c>
      <c r="Q70" s="426">
        <v>45730</v>
      </c>
      <c r="R70" s="426">
        <v>42885</v>
      </c>
      <c r="S70" s="426">
        <v>40045</v>
      </c>
      <c r="T70" s="426">
        <v>37310</v>
      </c>
      <c r="U70" s="426">
        <v>34365</v>
      </c>
      <c r="V70" s="426">
        <v>31535</v>
      </c>
      <c r="W70" s="426">
        <v>159590</v>
      </c>
      <c r="X70" s="339">
        <f t="shared" si="1"/>
        <v>928650</v>
      </c>
      <c r="Y70" s="420"/>
    </row>
    <row r="71" spans="1:25" s="437" customFormat="1" ht="21" customHeight="1">
      <c r="A71" s="539">
        <v>32</v>
      </c>
      <c r="B71" s="347" t="s">
        <v>741</v>
      </c>
      <c r="C71" s="598" t="s">
        <v>946</v>
      </c>
      <c r="D71" s="594">
        <v>662</v>
      </c>
      <c r="E71" s="596">
        <f>2100900-400000-20542</f>
        <v>1680358</v>
      </c>
      <c r="F71" s="537" t="s">
        <v>945</v>
      </c>
      <c r="G71" s="417" t="s">
        <v>734</v>
      </c>
      <c r="H71" s="428">
        <v>10000</v>
      </c>
      <c r="I71" s="428">
        <v>20000</v>
      </c>
      <c r="J71" s="428">
        <v>43956</v>
      </c>
      <c r="K71" s="428">
        <v>43956</v>
      </c>
      <c r="L71" s="428">
        <v>43956</v>
      </c>
      <c r="M71" s="428">
        <v>43956</v>
      </c>
      <c r="N71" s="428">
        <v>43956</v>
      </c>
      <c r="O71" s="428">
        <v>43956</v>
      </c>
      <c r="P71" s="428">
        <v>43956</v>
      </c>
      <c r="Q71" s="428">
        <v>43956</v>
      </c>
      <c r="R71" s="428">
        <v>43956</v>
      </c>
      <c r="S71" s="428">
        <v>43956</v>
      </c>
      <c r="T71" s="428">
        <v>43956</v>
      </c>
      <c r="U71" s="428">
        <v>43956</v>
      </c>
      <c r="V71" s="428">
        <v>43956</v>
      </c>
      <c r="W71" s="428">
        <v>450532</v>
      </c>
      <c r="X71" s="344">
        <f aca="true" t="shared" si="2" ref="X71:X134">SUM(H71:W71)</f>
        <v>1051960</v>
      </c>
      <c r="Y71" s="420"/>
    </row>
    <row r="72" spans="1:25" s="437" customFormat="1" ht="21" customHeight="1">
      <c r="A72" s="540"/>
      <c r="B72" s="440" t="s">
        <v>944</v>
      </c>
      <c r="C72" s="605"/>
      <c r="D72" s="606"/>
      <c r="E72" s="607"/>
      <c r="F72" s="538"/>
      <c r="G72" s="439">
        <v>0.04194</v>
      </c>
      <c r="H72" s="438">
        <v>46410</v>
      </c>
      <c r="I72" s="438">
        <v>44750</v>
      </c>
      <c r="J72" s="438">
        <v>41120</v>
      </c>
      <c r="K72" s="438">
        <v>38415</v>
      </c>
      <c r="L72" s="438">
        <v>35825</v>
      </c>
      <c r="M72" s="438">
        <v>34035</v>
      </c>
      <c r="N72" s="438">
        <v>32340</v>
      </c>
      <c r="O72" s="438">
        <v>30650</v>
      </c>
      <c r="P72" s="438">
        <v>29035</v>
      </c>
      <c r="Q72" s="438">
        <v>27260</v>
      </c>
      <c r="R72" s="438">
        <v>25565</v>
      </c>
      <c r="S72" s="438">
        <v>23875</v>
      </c>
      <c r="T72" s="438">
        <v>22240</v>
      </c>
      <c r="U72" s="438">
        <v>20485</v>
      </c>
      <c r="V72" s="438">
        <v>18795</v>
      </c>
      <c r="W72" s="438">
        <v>95125</v>
      </c>
      <c r="X72" s="339">
        <f t="shared" si="2"/>
        <v>565925</v>
      </c>
      <c r="Y72" s="420"/>
    </row>
    <row r="73" spans="1:25" s="437" customFormat="1" ht="15" customHeight="1">
      <c r="A73" s="539">
        <v>33</v>
      </c>
      <c r="B73" s="347" t="s">
        <v>741</v>
      </c>
      <c r="C73" s="598" t="s">
        <v>943</v>
      </c>
      <c r="D73" s="594">
        <v>663</v>
      </c>
      <c r="E73" s="596">
        <f>10367403-84075.7</f>
        <v>10283327.3</v>
      </c>
      <c r="F73" s="537" t="s">
        <v>938</v>
      </c>
      <c r="G73" s="417" t="s">
        <v>734</v>
      </c>
      <c r="H73" s="428">
        <v>10000</v>
      </c>
      <c r="I73" s="428">
        <v>20000</v>
      </c>
      <c r="J73" s="428">
        <v>28000</v>
      </c>
      <c r="K73" s="428">
        <v>40000</v>
      </c>
      <c r="L73" s="428">
        <v>80000</v>
      </c>
      <c r="M73" s="428">
        <v>200000</v>
      </c>
      <c r="N73" s="428">
        <v>400000</v>
      </c>
      <c r="O73" s="428">
        <v>520348</v>
      </c>
      <c r="P73" s="428">
        <v>520348</v>
      </c>
      <c r="Q73" s="428">
        <v>520348</v>
      </c>
      <c r="R73" s="428">
        <v>520348</v>
      </c>
      <c r="S73" s="428">
        <v>520348</v>
      </c>
      <c r="T73" s="428">
        <v>520348</v>
      </c>
      <c r="U73" s="428">
        <v>520348</v>
      </c>
      <c r="V73" s="428">
        <v>520348</v>
      </c>
      <c r="W73" s="428">
        <v>5333543</v>
      </c>
      <c r="X73" s="344">
        <f t="shared" si="2"/>
        <v>10274327</v>
      </c>
      <c r="Y73" s="420"/>
    </row>
    <row r="74" spans="1:25" s="437" customFormat="1" ht="15" customHeight="1">
      <c r="A74" s="540"/>
      <c r="B74" s="422" t="s">
        <v>942</v>
      </c>
      <c r="C74" s="599"/>
      <c r="D74" s="595"/>
      <c r="E74" s="597"/>
      <c r="F74" s="538"/>
      <c r="G74" s="412">
        <v>0.04397</v>
      </c>
      <c r="H74" s="426">
        <v>461920</v>
      </c>
      <c r="I74" s="426">
        <v>455045</v>
      </c>
      <c r="J74" s="426">
        <v>410045</v>
      </c>
      <c r="K74" s="426">
        <v>393350</v>
      </c>
      <c r="L74" s="426">
        <v>392585</v>
      </c>
      <c r="M74" s="426">
        <v>387550</v>
      </c>
      <c r="N74" s="426">
        <v>378485</v>
      </c>
      <c r="O74" s="426">
        <v>362530</v>
      </c>
      <c r="P74" s="426">
        <v>343685</v>
      </c>
      <c r="Q74" s="426">
        <v>322690</v>
      </c>
      <c r="R74" s="426">
        <v>302640</v>
      </c>
      <c r="S74" s="426">
        <v>282595</v>
      </c>
      <c r="T74" s="426">
        <v>263275</v>
      </c>
      <c r="U74" s="426">
        <v>242500</v>
      </c>
      <c r="V74" s="426">
        <v>222450</v>
      </c>
      <c r="W74" s="426">
        <v>1126175</v>
      </c>
      <c r="X74" s="339">
        <f t="shared" si="2"/>
        <v>6347520</v>
      </c>
      <c r="Y74" s="420"/>
    </row>
    <row r="75" spans="1:25" s="437" customFormat="1" ht="15.75" customHeight="1">
      <c r="A75" s="539">
        <v>34</v>
      </c>
      <c r="B75" s="347" t="s">
        <v>741</v>
      </c>
      <c r="C75" s="598" t="s">
        <v>941</v>
      </c>
      <c r="D75" s="590">
        <v>665</v>
      </c>
      <c r="E75" s="596">
        <f>158248.54+2664102</f>
        <v>2822350.54</v>
      </c>
      <c r="F75" s="537" t="s">
        <v>938</v>
      </c>
      <c r="G75" s="417" t="s">
        <v>734</v>
      </c>
      <c r="H75" s="428">
        <v>8000</v>
      </c>
      <c r="I75" s="428">
        <v>16000</v>
      </c>
      <c r="J75" s="428">
        <v>32000</v>
      </c>
      <c r="K75" s="428">
        <v>60000</v>
      </c>
      <c r="L75" s="428">
        <v>80000</v>
      </c>
      <c r="M75" s="428">
        <v>93944</v>
      </c>
      <c r="N75" s="428">
        <v>93944</v>
      </c>
      <c r="O75" s="428">
        <v>93944</v>
      </c>
      <c r="P75" s="428">
        <v>93944</v>
      </c>
      <c r="Q75" s="428">
        <v>93944</v>
      </c>
      <c r="R75" s="428">
        <v>93944</v>
      </c>
      <c r="S75" s="428">
        <v>93944</v>
      </c>
      <c r="T75" s="428">
        <v>93944</v>
      </c>
      <c r="U75" s="427">
        <v>93944</v>
      </c>
      <c r="V75" s="427">
        <v>93944</v>
      </c>
      <c r="W75" s="427">
        <v>962926</v>
      </c>
      <c r="X75" s="344">
        <f t="shared" si="2"/>
        <v>2098366</v>
      </c>
      <c r="Y75" s="420"/>
    </row>
    <row r="76" spans="1:25" s="437" customFormat="1" ht="15.75" customHeight="1">
      <c r="A76" s="540"/>
      <c r="B76" s="422" t="s">
        <v>940</v>
      </c>
      <c r="C76" s="599"/>
      <c r="D76" s="591"/>
      <c r="E76" s="597"/>
      <c r="F76" s="538"/>
      <c r="G76" s="412">
        <v>0.04397</v>
      </c>
      <c r="H76" s="426">
        <v>94295</v>
      </c>
      <c r="I76" s="426">
        <v>95245</v>
      </c>
      <c r="J76" s="426">
        <v>91750</v>
      </c>
      <c r="K76" s="426">
        <v>82395</v>
      </c>
      <c r="L76" s="426">
        <v>80075</v>
      </c>
      <c r="M76" s="426">
        <v>76535</v>
      </c>
      <c r="N76" s="426">
        <v>72755</v>
      </c>
      <c r="O76" s="426">
        <v>68945</v>
      </c>
      <c r="P76" s="426">
        <v>65315</v>
      </c>
      <c r="Q76" s="426">
        <v>61325</v>
      </c>
      <c r="R76" s="426">
        <v>57515</v>
      </c>
      <c r="S76" s="426">
        <v>53705</v>
      </c>
      <c r="T76" s="426">
        <v>50035</v>
      </c>
      <c r="U76" s="426">
        <v>46085</v>
      </c>
      <c r="V76" s="426">
        <v>42275</v>
      </c>
      <c r="W76" s="426">
        <v>214025</v>
      </c>
      <c r="X76" s="339">
        <f t="shared" si="2"/>
        <v>1252275</v>
      </c>
      <c r="Y76" s="420"/>
    </row>
    <row r="77" spans="1:25" s="437" customFormat="1" ht="18" customHeight="1">
      <c r="A77" s="539">
        <v>35</v>
      </c>
      <c r="B77" s="347" t="s">
        <v>741</v>
      </c>
      <c r="C77" s="598" t="s">
        <v>939</v>
      </c>
      <c r="D77" s="594">
        <v>666</v>
      </c>
      <c r="E77" s="596">
        <f>663930-19547.23</f>
        <v>644382.77</v>
      </c>
      <c r="F77" s="602" t="s">
        <v>938</v>
      </c>
      <c r="G77" s="417" t="s">
        <v>734</v>
      </c>
      <c r="H77" s="428">
        <v>10000</v>
      </c>
      <c r="I77" s="428">
        <v>20000</v>
      </c>
      <c r="J77" s="428">
        <v>26040</v>
      </c>
      <c r="K77" s="428">
        <v>26040</v>
      </c>
      <c r="L77" s="428">
        <v>26040</v>
      </c>
      <c r="M77" s="428">
        <v>26040</v>
      </c>
      <c r="N77" s="428">
        <v>26040</v>
      </c>
      <c r="O77" s="428">
        <v>26040</v>
      </c>
      <c r="P77" s="428">
        <v>26040</v>
      </c>
      <c r="Q77" s="428">
        <v>26040</v>
      </c>
      <c r="R77" s="428">
        <v>26040</v>
      </c>
      <c r="S77" s="428">
        <v>26040</v>
      </c>
      <c r="T77" s="428">
        <v>26040</v>
      </c>
      <c r="U77" s="428">
        <v>26040</v>
      </c>
      <c r="V77" s="428">
        <v>26040</v>
      </c>
      <c r="W77" s="428">
        <v>266862</v>
      </c>
      <c r="X77" s="344">
        <f t="shared" si="2"/>
        <v>635382</v>
      </c>
      <c r="Y77" s="420"/>
    </row>
    <row r="78" spans="1:25" s="437" customFormat="1" ht="18" customHeight="1">
      <c r="A78" s="540"/>
      <c r="B78" s="422" t="s">
        <v>937</v>
      </c>
      <c r="C78" s="599"/>
      <c r="D78" s="595"/>
      <c r="E78" s="597"/>
      <c r="F78" s="604"/>
      <c r="G78" s="412">
        <v>0.04397</v>
      </c>
      <c r="H78" s="426">
        <v>28490</v>
      </c>
      <c r="I78" s="426">
        <v>28370</v>
      </c>
      <c r="J78" s="426">
        <v>26670</v>
      </c>
      <c r="K78" s="426">
        <v>23335</v>
      </c>
      <c r="L78" s="426">
        <v>22340</v>
      </c>
      <c r="M78" s="426">
        <v>21225</v>
      </c>
      <c r="N78" s="426">
        <v>20165</v>
      </c>
      <c r="O78" s="426">
        <v>19110</v>
      </c>
      <c r="P78" s="426">
        <v>18105</v>
      </c>
      <c r="Q78" s="426">
        <v>17000</v>
      </c>
      <c r="R78" s="426">
        <v>15945</v>
      </c>
      <c r="S78" s="426">
        <v>14885</v>
      </c>
      <c r="T78" s="426">
        <v>13870</v>
      </c>
      <c r="U78" s="426">
        <v>12775</v>
      </c>
      <c r="V78" s="426">
        <v>11720</v>
      </c>
      <c r="W78" s="426">
        <v>59305</v>
      </c>
      <c r="X78" s="339">
        <f t="shared" si="2"/>
        <v>353310</v>
      </c>
      <c r="Y78" s="420"/>
    </row>
    <row r="79" spans="1:25" s="437" customFormat="1" ht="16.5" customHeight="1">
      <c r="A79" s="539">
        <v>36</v>
      </c>
      <c r="B79" s="347" t="s">
        <v>741</v>
      </c>
      <c r="C79" s="598" t="s">
        <v>936</v>
      </c>
      <c r="D79" s="594">
        <v>668</v>
      </c>
      <c r="E79" s="596">
        <v>352110</v>
      </c>
      <c r="F79" s="602" t="s">
        <v>933</v>
      </c>
      <c r="G79" s="436" t="s">
        <v>734</v>
      </c>
      <c r="H79" s="428">
        <v>20416</v>
      </c>
      <c r="I79" s="428">
        <v>20416</v>
      </c>
      <c r="J79" s="428">
        <v>20416</v>
      </c>
      <c r="K79" s="428">
        <v>20416</v>
      </c>
      <c r="L79" s="428">
        <v>20416</v>
      </c>
      <c r="M79" s="428">
        <v>20416</v>
      </c>
      <c r="N79" s="428">
        <v>20416</v>
      </c>
      <c r="O79" s="428">
        <v>20416</v>
      </c>
      <c r="P79" s="428">
        <v>20416</v>
      </c>
      <c r="Q79" s="428">
        <v>20416</v>
      </c>
      <c r="R79" s="428">
        <v>20416</v>
      </c>
      <c r="S79" s="428">
        <v>20416</v>
      </c>
      <c r="T79" s="428">
        <v>20416</v>
      </c>
      <c r="U79" s="428">
        <v>20416</v>
      </c>
      <c r="V79" s="428">
        <v>20416</v>
      </c>
      <c r="W79" s="428">
        <v>35728</v>
      </c>
      <c r="X79" s="344">
        <f t="shared" si="2"/>
        <v>341968</v>
      </c>
      <c r="Y79" s="420"/>
    </row>
    <row r="80" spans="1:25" s="437" customFormat="1" ht="16.5" customHeight="1">
      <c r="A80" s="540"/>
      <c r="B80" s="422" t="s">
        <v>935</v>
      </c>
      <c r="C80" s="599"/>
      <c r="D80" s="595"/>
      <c r="E80" s="597"/>
      <c r="F80" s="604"/>
      <c r="G80" s="412">
        <v>0.0475</v>
      </c>
      <c r="H80" s="426">
        <v>16575</v>
      </c>
      <c r="I80" s="426">
        <v>16145</v>
      </c>
      <c r="J80" s="426">
        <v>14365</v>
      </c>
      <c r="K80" s="426">
        <v>11260</v>
      </c>
      <c r="L80" s="426">
        <v>10460</v>
      </c>
      <c r="M80" s="426">
        <v>9605</v>
      </c>
      <c r="N80" s="426">
        <v>8775</v>
      </c>
      <c r="O80" s="426">
        <v>7950</v>
      </c>
      <c r="P80" s="426">
        <v>7140</v>
      </c>
      <c r="Q80" s="426">
        <v>6290</v>
      </c>
      <c r="R80" s="426">
        <v>5465</v>
      </c>
      <c r="S80" s="426">
        <v>4635</v>
      </c>
      <c r="T80" s="426">
        <v>3820</v>
      </c>
      <c r="U80" s="426">
        <v>2980</v>
      </c>
      <c r="V80" s="426">
        <v>2150</v>
      </c>
      <c r="W80" s="426">
        <v>1820</v>
      </c>
      <c r="X80" s="339">
        <f t="shared" si="2"/>
        <v>129435</v>
      </c>
      <c r="Y80" s="420"/>
    </row>
    <row r="81" spans="1:25" s="419" customFormat="1" ht="13.5" customHeight="1">
      <c r="A81" s="539">
        <v>37</v>
      </c>
      <c r="B81" s="347" t="s">
        <v>741</v>
      </c>
      <c r="C81" s="598" t="s">
        <v>934</v>
      </c>
      <c r="D81" s="594">
        <v>669</v>
      </c>
      <c r="E81" s="596">
        <v>403410</v>
      </c>
      <c r="F81" s="602" t="s">
        <v>933</v>
      </c>
      <c r="G81" s="417" t="s">
        <v>734</v>
      </c>
      <c r="H81" s="428">
        <v>23388</v>
      </c>
      <c r="I81" s="428">
        <v>23388</v>
      </c>
      <c r="J81" s="428">
        <v>23388</v>
      </c>
      <c r="K81" s="428">
        <v>23388</v>
      </c>
      <c r="L81" s="428">
        <v>23388</v>
      </c>
      <c r="M81" s="428">
        <v>23388</v>
      </c>
      <c r="N81" s="428">
        <v>23388</v>
      </c>
      <c r="O81" s="428">
        <v>23388</v>
      </c>
      <c r="P81" s="428">
        <v>23388</v>
      </c>
      <c r="Q81" s="428">
        <v>23388</v>
      </c>
      <c r="R81" s="428">
        <v>23388</v>
      </c>
      <c r="S81" s="428">
        <v>23388</v>
      </c>
      <c r="T81" s="428">
        <v>23388</v>
      </c>
      <c r="U81" s="428">
        <v>23388</v>
      </c>
      <c r="V81" s="428">
        <v>23388</v>
      </c>
      <c r="W81" s="428">
        <v>40929</v>
      </c>
      <c r="X81" s="344">
        <f t="shared" si="2"/>
        <v>391749</v>
      </c>
      <c r="Y81" s="420"/>
    </row>
    <row r="82" spans="1:25" s="419" customFormat="1" ht="13.5" customHeight="1">
      <c r="A82" s="540"/>
      <c r="B82" s="422" t="s">
        <v>932</v>
      </c>
      <c r="C82" s="599"/>
      <c r="D82" s="595"/>
      <c r="E82" s="597"/>
      <c r="F82" s="604"/>
      <c r="G82" s="412">
        <v>0.0475</v>
      </c>
      <c r="H82" s="426">
        <v>18985</v>
      </c>
      <c r="I82" s="426">
        <v>18495</v>
      </c>
      <c r="J82" s="426">
        <v>16460</v>
      </c>
      <c r="K82" s="426">
        <v>12900</v>
      </c>
      <c r="L82" s="426">
        <v>11985</v>
      </c>
      <c r="M82" s="426">
        <v>11000</v>
      </c>
      <c r="N82" s="426">
        <v>10055</v>
      </c>
      <c r="O82" s="426">
        <v>9105</v>
      </c>
      <c r="P82" s="426">
        <v>8180</v>
      </c>
      <c r="Q82" s="426">
        <v>7205</v>
      </c>
      <c r="R82" s="426">
        <v>6260</v>
      </c>
      <c r="S82" s="426">
        <v>5310</v>
      </c>
      <c r="T82" s="426">
        <v>4375</v>
      </c>
      <c r="U82" s="426">
        <v>3415</v>
      </c>
      <c r="V82" s="426">
        <v>2465</v>
      </c>
      <c r="W82" s="426">
        <v>2085</v>
      </c>
      <c r="X82" s="339">
        <f t="shared" si="2"/>
        <v>148280</v>
      </c>
      <c r="Y82" s="420"/>
    </row>
    <row r="83" spans="1:25" s="419" customFormat="1" ht="18" customHeight="1">
      <c r="A83" s="539">
        <v>38</v>
      </c>
      <c r="B83" s="347" t="s">
        <v>741</v>
      </c>
      <c r="C83" s="598" t="s">
        <v>931</v>
      </c>
      <c r="D83" s="594">
        <v>670</v>
      </c>
      <c r="E83" s="596">
        <f>848543-24.81</f>
        <v>848518.19</v>
      </c>
      <c r="F83" s="602" t="s">
        <v>930</v>
      </c>
      <c r="G83" s="417" t="s">
        <v>734</v>
      </c>
      <c r="H83" s="428">
        <v>2000</v>
      </c>
      <c r="I83" s="428">
        <v>4000</v>
      </c>
      <c r="J83" s="428">
        <v>8000</v>
      </c>
      <c r="K83" s="428">
        <v>20000</v>
      </c>
      <c r="L83" s="428">
        <f aca="true" t="shared" si="3" ref="L83:S83">36180-14188</f>
        <v>21992</v>
      </c>
      <c r="M83" s="428">
        <f t="shared" si="3"/>
        <v>21992</v>
      </c>
      <c r="N83" s="428">
        <f t="shared" si="3"/>
        <v>21992</v>
      </c>
      <c r="O83" s="428">
        <f t="shared" si="3"/>
        <v>21992</v>
      </c>
      <c r="P83" s="428">
        <f t="shared" si="3"/>
        <v>21992</v>
      </c>
      <c r="Q83" s="428">
        <f t="shared" si="3"/>
        <v>21992</v>
      </c>
      <c r="R83" s="428">
        <f t="shared" si="3"/>
        <v>21992</v>
      </c>
      <c r="S83" s="428">
        <f t="shared" si="3"/>
        <v>21992</v>
      </c>
      <c r="T83" s="427">
        <v>21992</v>
      </c>
      <c r="U83" s="427">
        <v>21992</v>
      </c>
      <c r="V83" s="427">
        <v>21992</v>
      </c>
      <c r="W83" s="427">
        <v>252882</v>
      </c>
      <c r="X83" s="344">
        <f t="shared" si="2"/>
        <v>528794</v>
      </c>
      <c r="Y83" s="420"/>
    </row>
    <row r="84" spans="1:25" s="419" customFormat="1" ht="18" customHeight="1">
      <c r="A84" s="540"/>
      <c r="B84" s="422" t="s">
        <v>929</v>
      </c>
      <c r="C84" s="599"/>
      <c r="D84" s="595"/>
      <c r="E84" s="597"/>
      <c r="F84" s="604"/>
      <c r="G84" s="412">
        <v>0.05024</v>
      </c>
      <c r="H84" s="426">
        <v>27095</v>
      </c>
      <c r="I84" s="426">
        <v>27070</v>
      </c>
      <c r="J84" s="426">
        <v>25105</v>
      </c>
      <c r="K84" s="426">
        <v>20730</v>
      </c>
      <c r="L84" s="426">
        <v>19980</v>
      </c>
      <c r="M84" s="426">
        <v>19040</v>
      </c>
      <c r="N84" s="426">
        <v>18150</v>
      </c>
      <c r="O84" s="426">
        <v>17255</v>
      </c>
      <c r="P84" s="426">
        <v>16410</v>
      </c>
      <c r="Q84" s="426">
        <v>15470</v>
      </c>
      <c r="R84" s="426">
        <v>14580</v>
      </c>
      <c r="S84" s="426">
        <v>13690</v>
      </c>
      <c r="T84" s="426">
        <v>12830</v>
      </c>
      <c r="U84" s="426">
        <v>11905</v>
      </c>
      <c r="V84" s="426">
        <v>11010</v>
      </c>
      <c r="W84" s="426">
        <v>62605</v>
      </c>
      <c r="X84" s="339">
        <f t="shared" si="2"/>
        <v>332925</v>
      </c>
      <c r="Y84" s="420"/>
    </row>
    <row r="85" spans="1:25" s="419" customFormat="1" ht="13.5" customHeight="1">
      <c r="A85" s="539">
        <v>39</v>
      </c>
      <c r="B85" s="347" t="s">
        <v>741</v>
      </c>
      <c r="C85" s="598" t="s">
        <v>928</v>
      </c>
      <c r="D85" s="594">
        <v>671</v>
      </c>
      <c r="E85" s="596">
        <f>1698600+205400</f>
        <v>1904000</v>
      </c>
      <c r="F85" s="602" t="s">
        <v>927</v>
      </c>
      <c r="G85" s="417" t="s">
        <v>734</v>
      </c>
      <c r="H85" s="428">
        <v>6000</v>
      </c>
      <c r="I85" s="428">
        <v>10000</v>
      </c>
      <c r="J85" s="428">
        <v>20000</v>
      </c>
      <c r="K85" s="428">
        <v>40000</v>
      </c>
      <c r="L85" s="428">
        <v>60000</v>
      </c>
      <c r="M85" s="428">
        <v>82140</v>
      </c>
      <c r="N85" s="428">
        <v>82140</v>
      </c>
      <c r="O85" s="428">
        <v>82140</v>
      </c>
      <c r="P85" s="428">
        <v>82140</v>
      </c>
      <c r="Q85" s="428">
        <v>82140</v>
      </c>
      <c r="R85" s="428">
        <v>82140</v>
      </c>
      <c r="S85" s="428">
        <v>82140</v>
      </c>
      <c r="T85" s="428">
        <v>82140</v>
      </c>
      <c r="U85" s="428">
        <v>82140</v>
      </c>
      <c r="V85" s="428">
        <v>82140</v>
      </c>
      <c r="W85" s="428">
        <v>944600</v>
      </c>
      <c r="X85" s="344">
        <f t="shared" si="2"/>
        <v>1902000</v>
      </c>
      <c r="Y85" s="420"/>
    </row>
    <row r="86" spans="1:25" s="419" customFormat="1" ht="13.5" customHeight="1">
      <c r="A86" s="540"/>
      <c r="B86" s="422" t="s">
        <v>926</v>
      </c>
      <c r="C86" s="599"/>
      <c r="D86" s="595"/>
      <c r="E86" s="597"/>
      <c r="F86" s="604"/>
      <c r="G86" s="412">
        <v>0.05143</v>
      </c>
      <c r="H86" s="426">
        <v>99310</v>
      </c>
      <c r="I86" s="426">
        <v>96030</v>
      </c>
      <c r="J86" s="426">
        <v>95430</v>
      </c>
      <c r="K86" s="426">
        <v>75385</v>
      </c>
      <c r="L86" s="426">
        <v>73840</v>
      </c>
      <c r="M86" s="426">
        <v>71060</v>
      </c>
      <c r="N86" s="426">
        <v>67780</v>
      </c>
      <c r="O86" s="426">
        <v>64450</v>
      </c>
      <c r="P86" s="426">
        <v>61285</v>
      </c>
      <c r="Q86" s="426">
        <v>57785</v>
      </c>
      <c r="R86" s="426">
        <v>54455</v>
      </c>
      <c r="S86" s="426">
        <v>51120</v>
      </c>
      <c r="T86" s="426">
        <v>47925</v>
      </c>
      <c r="U86" s="426">
        <v>44460</v>
      </c>
      <c r="V86" s="426">
        <v>41130</v>
      </c>
      <c r="W86" s="426">
        <v>233865</v>
      </c>
      <c r="X86" s="339">
        <f t="shared" si="2"/>
        <v>1235310</v>
      </c>
      <c r="Y86" s="420"/>
    </row>
    <row r="87" spans="1:25" s="419" customFormat="1" ht="13.5" customHeight="1">
      <c r="A87" s="539">
        <v>40</v>
      </c>
      <c r="B87" s="347" t="s">
        <v>741</v>
      </c>
      <c r="C87" s="598" t="s">
        <v>925</v>
      </c>
      <c r="D87" s="594">
        <v>672</v>
      </c>
      <c r="E87" s="596">
        <f>142175-5157.95</f>
        <v>137017.05</v>
      </c>
      <c r="F87" s="602" t="s">
        <v>924</v>
      </c>
      <c r="G87" s="436" t="s">
        <v>734</v>
      </c>
      <c r="H87" s="428">
        <v>7944</v>
      </c>
      <c r="I87" s="428">
        <v>7944</v>
      </c>
      <c r="J87" s="428">
        <v>7944</v>
      </c>
      <c r="K87" s="428">
        <v>7944</v>
      </c>
      <c r="L87" s="428">
        <v>7944</v>
      </c>
      <c r="M87" s="428">
        <v>7944</v>
      </c>
      <c r="N87" s="428">
        <v>7944</v>
      </c>
      <c r="O87" s="428">
        <v>7944</v>
      </c>
      <c r="P87" s="428">
        <v>7944</v>
      </c>
      <c r="Q87" s="428">
        <v>7944</v>
      </c>
      <c r="R87" s="428">
        <v>7944</v>
      </c>
      <c r="S87" s="428">
        <v>7944</v>
      </c>
      <c r="T87" s="428">
        <v>7944</v>
      </c>
      <c r="U87" s="428">
        <v>7944</v>
      </c>
      <c r="V87" s="428">
        <v>7944</v>
      </c>
      <c r="W87" s="428">
        <v>13902</v>
      </c>
      <c r="X87" s="344">
        <f t="shared" si="2"/>
        <v>133062</v>
      </c>
      <c r="Y87" s="420"/>
    </row>
    <row r="88" spans="1:25" s="419" customFormat="1" ht="13.5" customHeight="1">
      <c r="A88" s="540"/>
      <c r="B88" s="422" t="s">
        <v>923</v>
      </c>
      <c r="C88" s="599"/>
      <c r="D88" s="595"/>
      <c r="E88" s="597"/>
      <c r="F88" s="604"/>
      <c r="G88" s="412">
        <v>0.04915</v>
      </c>
      <c r="H88" s="426">
        <v>6585</v>
      </c>
      <c r="I88" s="426">
        <v>6285</v>
      </c>
      <c r="J88" s="426">
        <v>5880</v>
      </c>
      <c r="K88" s="426">
        <v>4385</v>
      </c>
      <c r="L88" s="426">
        <v>4070</v>
      </c>
      <c r="M88" s="426">
        <v>3740</v>
      </c>
      <c r="N88" s="426">
        <v>3415</v>
      </c>
      <c r="O88" s="426">
        <v>3095</v>
      </c>
      <c r="P88" s="426">
        <v>2780</v>
      </c>
      <c r="Q88" s="426">
        <v>2450</v>
      </c>
      <c r="R88" s="426">
        <v>2125</v>
      </c>
      <c r="S88" s="426">
        <v>1805</v>
      </c>
      <c r="T88" s="426">
        <v>1485</v>
      </c>
      <c r="U88" s="426">
        <v>1160</v>
      </c>
      <c r="V88" s="426">
        <v>840</v>
      </c>
      <c r="W88" s="426">
        <v>710</v>
      </c>
      <c r="X88" s="339">
        <f t="shared" si="2"/>
        <v>50810</v>
      </c>
      <c r="Y88" s="420"/>
    </row>
    <row r="89" spans="1:25" s="419" customFormat="1" ht="13.5" customHeight="1">
      <c r="A89" s="539">
        <v>41</v>
      </c>
      <c r="B89" s="347" t="s">
        <v>741</v>
      </c>
      <c r="C89" s="598" t="s">
        <v>922</v>
      </c>
      <c r="D89" s="594">
        <v>673</v>
      </c>
      <c r="E89" s="596">
        <f>625075-48519.44</f>
        <v>576555.56</v>
      </c>
      <c r="F89" s="602" t="s">
        <v>921</v>
      </c>
      <c r="G89" s="417" t="s">
        <v>734</v>
      </c>
      <c r="H89" s="428">
        <v>6000</v>
      </c>
      <c r="I89" s="428">
        <v>10000</v>
      </c>
      <c r="J89" s="428">
        <v>20000</v>
      </c>
      <c r="K89" s="428">
        <v>39892</v>
      </c>
      <c r="L89" s="428">
        <v>39892</v>
      </c>
      <c r="M89" s="428">
        <v>39892</v>
      </c>
      <c r="N89" s="428">
        <v>39892</v>
      </c>
      <c r="O89" s="428">
        <v>39892</v>
      </c>
      <c r="P89" s="428">
        <v>39892</v>
      </c>
      <c r="Q89" s="428">
        <v>39892</v>
      </c>
      <c r="R89" s="428">
        <v>39892</v>
      </c>
      <c r="S89" s="428">
        <v>39892</v>
      </c>
      <c r="T89" s="428">
        <v>39892</v>
      </c>
      <c r="U89" s="428">
        <v>39892</v>
      </c>
      <c r="V89" s="428">
        <v>39892</v>
      </c>
      <c r="W89" s="428">
        <v>59851</v>
      </c>
      <c r="X89" s="344">
        <f t="shared" si="2"/>
        <v>574555</v>
      </c>
      <c r="Y89" s="420"/>
    </row>
    <row r="90" spans="1:25" s="419" customFormat="1" ht="13.5" customHeight="1">
      <c r="A90" s="540"/>
      <c r="B90" s="422" t="s">
        <v>920</v>
      </c>
      <c r="C90" s="599"/>
      <c r="D90" s="595"/>
      <c r="E90" s="597"/>
      <c r="F90" s="604"/>
      <c r="G90" s="412">
        <v>0.04915</v>
      </c>
      <c r="H90" s="426">
        <v>28635</v>
      </c>
      <c r="I90" s="426">
        <v>28735</v>
      </c>
      <c r="J90" s="426">
        <v>28135</v>
      </c>
      <c r="K90" s="426">
        <v>21550</v>
      </c>
      <c r="L90" s="426">
        <v>20030</v>
      </c>
      <c r="M90" s="426">
        <v>18360</v>
      </c>
      <c r="N90" s="426">
        <v>16740</v>
      </c>
      <c r="O90" s="426">
        <v>15125</v>
      </c>
      <c r="P90" s="426">
        <v>13545</v>
      </c>
      <c r="Q90" s="426">
        <v>11890</v>
      </c>
      <c r="R90" s="426">
        <v>10270</v>
      </c>
      <c r="S90" s="426">
        <v>8650</v>
      </c>
      <c r="T90" s="426">
        <v>7055</v>
      </c>
      <c r="U90" s="426">
        <v>5415</v>
      </c>
      <c r="V90" s="426">
        <v>3800</v>
      </c>
      <c r="W90" s="426">
        <v>2755</v>
      </c>
      <c r="X90" s="339">
        <f t="shared" si="2"/>
        <v>240690</v>
      </c>
      <c r="Y90" s="420"/>
    </row>
    <row r="91" spans="1:25" s="419" customFormat="1" ht="13.5" customHeight="1">
      <c r="A91" s="539">
        <v>42</v>
      </c>
      <c r="B91" s="347" t="s">
        <v>741</v>
      </c>
      <c r="C91" s="598" t="s">
        <v>919</v>
      </c>
      <c r="D91" s="594">
        <v>675</v>
      </c>
      <c r="E91" s="596">
        <f>223252-340</f>
        <v>222912</v>
      </c>
      <c r="F91" s="537" t="s">
        <v>918</v>
      </c>
      <c r="G91" s="417" t="s">
        <v>734</v>
      </c>
      <c r="H91" s="428">
        <v>12924</v>
      </c>
      <c r="I91" s="428">
        <v>12924</v>
      </c>
      <c r="J91" s="428">
        <v>12924</v>
      </c>
      <c r="K91" s="428">
        <v>12924</v>
      </c>
      <c r="L91" s="428">
        <v>12924</v>
      </c>
      <c r="M91" s="428">
        <v>12924</v>
      </c>
      <c r="N91" s="428">
        <v>12924</v>
      </c>
      <c r="O91" s="428">
        <v>12924</v>
      </c>
      <c r="P91" s="428">
        <v>12924</v>
      </c>
      <c r="Q91" s="428">
        <v>12924</v>
      </c>
      <c r="R91" s="428">
        <v>12924</v>
      </c>
      <c r="S91" s="428">
        <v>12924</v>
      </c>
      <c r="T91" s="428">
        <v>12924</v>
      </c>
      <c r="U91" s="428">
        <v>12924</v>
      </c>
      <c r="V91" s="428">
        <v>12924</v>
      </c>
      <c r="W91" s="428">
        <v>25848</v>
      </c>
      <c r="X91" s="344">
        <f t="shared" si="2"/>
        <v>219708</v>
      </c>
      <c r="Y91" s="420"/>
    </row>
    <row r="92" spans="1:25" s="419" customFormat="1" ht="13.5" customHeight="1">
      <c r="A92" s="540"/>
      <c r="B92" s="422" t="s">
        <v>917</v>
      </c>
      <c r="C92" s="599"/>
      <c r="D92" s="595"/>
      <c r="E92" s="597"/>
      <c r="F92" s="538"/>
      <c r="G92" s="412">
        <v>0.04527</v>
      </c>
      <c r="H92" s="426">
        <v>9590</v>
      </c>
      <c r="I92" s="426">
        <v>9555</v>
      </c>
      <c r="J92" s="426">
        <v>8950</v>
      </c>
      <c r="K92" s="426">
        <v>7260</v>
      </c>
      <c r="L92" s="426">
        <v>6755</v>
      </c>
      <c r="M92" s="426">
        <v>6210</v>
      </c>
      <c r="N92" s="426">
        <v>5685</v>
      </c>
      <c r="O92" s="426">
        <v>5165</v>
      </c>
      <c r="P92" s="426">
        <v>4650</v>
      </c>
      <c r="Q92" s="426">
        <v>4115</v>
      </c>
      <c r="R92" s="426">
        <v>3590</v>
      </c>
      <c r="S92" s="426">
        <v>3065</v>
      </c>
      <c r="T92" s="426">
        <v>2550</v>
      </c>
      <c r="U92" s="426">
        <v>2020</v>
      </c>
      <c r="V92" s="426">
        <v>1495</v>
      </c>
      <c r="W92" s="426">
        <v>1445</v>
      </c>
      <c r="X92" s="339">
        <f t="shared" si="2"/>
        <v>82100</v>
      </c>
      <c r="Y92" s="420"/>
    </row>
    <row r="93" spans="1:25" s="419" customFormat="1" ht="13.5" customHeight="1">
      <c r="A93" s="539">
        <v>43</v>
      </c>
      <c r="B93" s="347" t="s">
        <v>741</v>
      </c>
      <c r="C93" s="598" t="s">
        <v>855</v>
      </c>
      <c r="D93" s="594">
        <v>676</v>
      </c>
      <c r="E93" s="596">
        <v>4607144</v>
      </c>
      <c r="F93" s="537" t="s">
        <v>916</v>
      </c>
      <c r="G93" s="417" t="s">
        <v>734</v>
      </c>
      <c r="H93" s="428">
        <v>6000</v>
      </c>
      <c r="I93" s="428">
        <v>10000</v>
      </c>
      <c r="J93" s="428">
        <v>20000</v>
      </c>
      <c r="K93" s="428">
        <v>40000</v>
      </c>
      <c r="L93" s="428">
        <v>100000</v>
      </c>
      <c r="M93" s="428">
        <v>199152</v>
      </c>
      <c r="N93" s="428">
        <v>199152</v>
      </c>
      <c r="O93" s="428">
        <v>199152</v>
      </c>
      <c r="P93" s="428">
        <v>199152</v>
      </c>
      <c r="Q93" s="428">
        <v>199152</v>
      </c>
      <c r="R93" s="428">
        <v>199152</v>
      </c>
      <c r="S93" s="428">
        <v>199152</v>
      </c>
      <c r="T93" s="428">
        <v>199152</v>
      </c>
      <c r="U93" s="428">
        <v>199152</v>
      </c>
      <c r="V93" s="428">
        <v>199152</v>
      </c>
      <c r="W93" s="428">
        <v>2439624</v>
      </c>
      <c r="X93" s="344">
        <f t="shared" si="2"/>
        <v>4607144</v>
      </c>
      <c r="Y93" s="420"/>
    </row>
    <row r="94" spans="1:25" s="419" customFormat="1" ht="13.5" customHeight="1">
      <c r="A94" s="540"/>
      <c r="B94" s="422" t="s">
        <v>915</v>
      </c>
      <c r="C94" s="599"/>
      <c r="D94" s="595"/>
      <c r="E94" s="597"/>
      <c r="F94" s="538"/>
      <c r="G94" s="412">
        <v>0.04203</v>
      </c>
      <c r="H94" s="426">
        <v>203785</v>
      </c>
      <c r="I94" s="426">
        <v>202845</v>
      </c>
      <c r="J94" s="426">
        <v>195355</v>
      </c>
      <c r="K94" s="426">
        <v>189715</v>
      </c>
      <c r="L94" s="426">
        <v>183510</v>
      </c>
      <c r="M94" s="426">
        <v>178240</v>
      </c>
      <c r="N94" s="426">
        <v>170390</v>
      </c>
      <c r="O94" s="426">
        <v>162310</v>
      </c>
      <c r="P94" s="426">
        <v>154660</v>
      </c>
      <c r="Q94" s="426">
        <v>146160</v>
      </c>
      <c r="R94" s="426">
        <v>138080</v>
      </c>
      <c r="S94" s="426">
        <v>130005</v>
      </c>
      <c r="T94" s="426">
        <v>122265</v>
      </c>
      <c r="U94" s="426">
        <v>113850</v>
      </c>
      <c r="V94" s="426">
        <v>105775</v>
      </c>
      <c r="W94" s="426">
        <v>641160</v>
      </c>
      <c r="X94" s="339">
        <f t="shared" si="2"/>
        <v>3038105</v>
      </c>
      <c r="Y94" s="420"/>
    </row>
    <row r="95" spans="1:25" s="419" customFormat="1" ht="13.5" customHeight="1">
      <c r="A95" s="539">
        <v>44</v>
      </c>
      <c r="B95" s="347" t="s">
        <v>741</v>
      </c>
      <c r="C95" s="598" t="s">
        <v>914</v>
      </c>
      <c r="D95" s="594">
        <v>678</v>
      </c>
      <c r="E95" s="596">
        <f>1073828+53126-7158.22</f>
        <v>1119795.78</v>
      </c>
      <c r="F95" s="537" t="s">
        <v>913</v>
      </c>
      <c r="G95" s="417" t="s">
        <v>734</v>
      </c>
      <c r="H95" s="427">
        <v>5008.21</v>
      </c>
      <c r="I95" s="428">
        <v>10000</v>
      </c>
      <c r="J95" s="428">
        <v>20000</v>
      </c>
      <c r="K95" s="428">
        <v>42268</v>
      </c>
      <c r="L95" s="428">
        <v>42268</v>
      </c>
      <c r="M95" s="428">
        <v>42268</v>
      </c>
      <c r="N95" s="428">
        <v>42268</v>
      </c>
      <c r="O95" s="428">
        <v>42268</v>
      </c>
      <c r="P95" s="428">
        <v>42268</v>
      </c>
      <c r="Q95" s="428">
        <v>42268</v>
      </c>
      <c r="R95" s="428">
        <v>42268</v>
      </c>
      <c r="S95" s="428">
        <v>42268</v>
      </c>
      <c r="T95" s="428">
        <v>42268</v>
      </c>
      <c r="U95" s="428">
        <v>42268</v>
      </c>
      <c r="V95" s="428">
        <v>42268</v>
      </c>
      <c r="W95" s="428">
        <v>517691</v>
      </c>
      <c r="X95" s="344">
        <f t="shared" si="2"/>
        <v>1059915.21</v>
      </c>
      <c r="Y95" s="420"/>
    </row>
    <row r="96" spans="1:25" s="419" customFormat="1" ht="13.5" customHeight="1">
      <c r="A96" s="540"/>
      <c r="B96" s="433" t="s">
        <v>912</v>
      </c>
      <c r="C96" s="599"/>
      <c r="D96" s="595"/>
      <c r="E96" s="597"/>
      <c r="F96" s="538"/>
      <c r="G96" s="412">
        <v>0.04564</v>
      </c>
      <c r="H96" s="426">
        <v>48825</v>
      </c>
      <c r="I96" s="426">
        <v>46455</v>
      </c>
      <c r="J96" s="426">
        <v>44345</v>
      </c>
      <c r="K96" s="426">
        <v>42290</v>
      </c>
      <c r="L96" s="426">
        <v>39700</v>
      </c>
      <c r="M96" s="426">
        <v>37875</v>
      </c>
      <c r="N96" s="426">
        <v>36160</v>
      </c>
      <c r="O96" s="426">
        <v>34445</v>
      </c>
      <c r="P96" s="426">
        <v>32825</v>
      </c>
      <c r="Q96" s="426">
        <v>31020</v>
      </c>
      <c r="R96" s="426">
        <v>29305</v>
      </c>
      <c r="S96" s="426">
        <v>27590</v>
      </c>
      <c r="T96" s="426">
        <v>25950</v>
      </c>
      <c r="U96" s="426">
        <v>24160</v>
      </c>
      <c r="V96" s="426">
        <v>22450</v>
      </c>
      <c r="W96" s="426">
        <v>136035</v>
      </c>
      <c r="X96" s="339">
        <f t="shared" si="2"/>
        <v>659430</v>
      </c>
      <c r="Y96" s="420"/>
    </row>
    <row r="97" spans="1:25" s="419" customFormat="1" ht="13.5" customHeight="1">
      <c r="A97" s="539">
        <v>45</v>
      </c>
      <c r="B97" s="347" t="s">
        <v>741</v>
      </c>
      <c r="C97" s="598" t="s">
        <v>911</v>
      </c>
      <c r="D97" s="594">
        <v>679</v>
      </c>
      <c r="E97" s="596">
        <v>1144390</v>
      </c>
      <c r="F97" s="537" t="s">
        <v>910</v>
      </c>
      <c r="G97" s="417" t="s">
        <v>734</v>
      </c>
      <c r="H97" s="428">
        <v>5000</v>
      </c>
      <c r="I97" s="428">
        <v>10000</v>
      </c>
      <c r="J97" s="428">
        <v>20000</v>
      </c>
      <c r="K97" s="428">
        <v>45280</v>
      </c>
      <c r="L97" s="428">
        <v>45280</v>
      </c>
      <c r="M97" s="428">
        <v>45280</v>
      </c>
      <c r="N97" s="428">
        <v>45280</v>
      </c>
      <c r="O97" s="428">
        <v>45280</v>
      </c>
      <c r="P97" s="428">
        <v>45280</v>
      </c>
      <c r="Q97" s="428">
        <v>45280</v>
      </c>
      <c r="R97" s="428">
        <v>45280</v>
      </c>
      <c r="S97" s="428">
        <v>45280</v>
      </c>
      <c r="T97" s="428">
        <v>45280</v>
      </c>
      <c r="U97" s="428">
        <v>45280</v>
      </c>
      <c r="V97" s="428">
        <v>45280</v>
      </c>
      <c r="W97" s="428">
        <v>566030</v>
      </c>
      <c r="X97" s="344">
        <f t="shared" si="2"/>
        <v>1144390</v>
      </c>
      <c r="Y97" s="420"/>
    </row>
    <row r="98" spans="1:25" s="419" customFormat="1" ht="13.5" customHeight="1">
      <c r="A98" s="540"/>
      <c r="B98" s="422" t="s">
        <v>909</v>
      </c>
      <c r="C98" s="599"/>
      <c r="D98" s="595"/>
      <c r="E98" s="597"/>
      <c r="F98" s="538"/>
      <c r="G98" s="412">
        <v>0.04873</v>
      </c>
      <c r="H98" s="426">
        <v>55605</v>
      </c>
      <c r="I98" s="426">
        <v>51915</v>
      </c>
      <c r="J98" s="426">
        <v>49935</v>
      </c>
      <c r="K98" s="426">
        <v>44655</v>
      </c>
      <c r="L98" s="426">
        <v>42995</v>
      </c>
      <c r="M98" s="426">
        <v>41040</v>
      </c>
      <c r="N98" s="426">
        <v>39200</v>
      </c>
      <c r="O98" s="426">
        <v>37365</v>
      </c>
      <c r="P98" s="426">
        <v>35630</v>
      </c>
      <c r="Q98" s="426">
        <v>33695</v>
      </c>
      <c r="R98" s="426">
        <v>31855</v>
      </c>
      <c r="S98" s="426">
        <v>30020</v>
      </c>
      <c r="T98" s="426">
        <v>28260</v>
      </c>
      <c r="U98" s="426">
        <v>26350</v>
      </c>
      <c r="V98" s="426">
        <v>24510</v>
      </c>
      <c r="W98" s="426">
        <v>151635</v>
      </c>
      <c r="X98" s="339">
        <f t="shared" si="2"/>
        <v>724665</v>
      </c>
      <c r="Y98" s="420"/>
    </row>
    <row r="99" spans="1:25" s="419" customFormat="1" ht="21.75" customHeight="1">
      <c r="A99" s="539">
        <v>46</v>
      </c>
      <c r="B99" s="347" t="s">
        <v>741</v>
      </c>
      <c r="C99" s="598" t="s">
        <v>226</v>
      </c>
      <c r="D99" s="594">
        <v>680</v>
      </c>
      <c r="E99" s="596">
        <v>147003</v>
      </c>
      <c r="F99" s="537" t="s">
        <v>908</v>
      </c>
      <c r="G99" s="417" t="s">
        <v>734</v>
      </c>
      <c r="H99" s="428">
        <v>7444</v>
      </c>
      <c r="I99" s="428">
        <v>7444</v>
      </c>
      <c r="J99" s="428">
        <v>7444</v>
      </c>
      <c r="K99" s="428">
        <v>7444</v>
      </c>
      <c r="L99" s="428">
        <v>7444</v>
      </c>
      <c r="M99" s="428">
        <v>7444</v>
      </c>
      <c r="N99" s="428">
        <v>7444</v>
      </c>
      <c r="O99" s="428">
        <v>7444</v>
      </c>
      <c r="P99" s="428">
        <v>7444</v>
      </c>
      <c r="Q99" s="428">
        <v>7444</v>
      </c>
      <c r="R99" s="428">
        <v>7444</v>
      </c>
      <c r="S99" s="428">
        <v>7444</v>
      </c>
      <c r="T99" s="428">
        <v>7444</v>
      </c>
      <c r="U99" s="428">
        <v>7444</v>
      </c>
      <c r="V99" s="428">
        <v>7444</v>
      </c>
      <c r="W99" s="428">
        <v>20471</v>
      </c>
      <c r="X99" s="344">
        <f t="shared" si="2"/>
        <v>132131</v>
      </c>
      <c r="Y99" s="420"/>
    </row>
    <row r="100" spans="1:25" s="419" customFormat="1" ht="21.75" customHeight="1">
      <c r="A100" s="540"/>
      <c r="B100" s="422" t="s">
        <v>907</v>
      </c>
      <c r="C100" s="599"/>
      <c r="D100" s="595"/>
      <c r="E100" s="597"/>
      <c r="F100" s="538"/>
      <c r="G100" s="412">
        <v>0.04693</v>
      </c>
      <c r="H100" s="426">
        <v>6255</v>
      </c>
      <c r="I100" s="426">
        <v>5830</v>
      </c>
      <c r="J100" s="426">
        <v>5155</v>
      </c>
      <c r="K100" s="426">
        <v>4410</v>
      </c>
      <c r="L100" s="426">
        <v>4120</v>
      </c>
      <c r="M100" s="426">
        <v>3805</v>
      </c>
      <c r="N100" s="426">
        <v>3505</v>
      </c>
      <c r="O100" s="426">
        <v>3200</v>
      </c>
      <c r="P100" s="426">
        <v>2905</v>
      </c>
      <c r="Q100" s="426">
        <v>2600</v>
      </c>
      <c r="R100" s="426">
        <v>2295</v>
      </c>
      <c r="S100" s="426">
        <v>1995</v>
      </c>
      <c r="T100" s="426">
        <v>1695</v>
      </c>
      <c r="U100" s="426">
        <v>1390</v>
      </c>
      <c r="V100" s="426">
        <v>1090</v>
      </c>
      <c r="W100" s="426">
        <v>1450</v>
      </c>
      <c r="X100" s="339">
        <f t="shared" si="2"/>
        <v>51700</v>
      </c>
      <c r="Y100" s="420"/>
    </row>
    <row r="101" spans="1:25" s="419" customFormat="1" ht="13.5" customHeight="1">
      <c r="A101" s="539">
        <v>47</v>
      </c>
      <c r="B101" s="348" t="s">
        <v>741</v>
      </c>
      <c r="C101" s="598" t="s">
        <v>906</v>
      </c>
      <c r="D101" s="594">
        <v>681</v>
      </c>
      <c r="E101" s="596">
        <v>106070</v>
      </c>
      <c r="F101" s="537" t="s">
        <v>902</v>
      </c>
      <c r="G101" s="417" t="s">
        <v>734</v>
      </c>
      <c r="H101" s="428">
        <f>3024</f>
        <v>3024</v>
      </c>
      <c r="I101" s="428">
        <v>6152</v>
      </c>
      <c r="J101" s="428">
        <v>6152</v>
      </c>
      <c r="K101" s="428">
        <v>6152</v>
      </c>
      <c r="L101" s="428">
        <v>6152</v>
      </c>
      <c r="M101" s="428">
        <v>6152</v>
      </c>
      <c r="N101" s="428">
        <v>6152</v>
      </c>
      <c r="O101" s="428">
        <v>6152</v>
      </c>
      <c r="P101" s="428">
        <v>6152</v>
      </c>
      <c r="Q101" s="428">
        <v>6152</v>
      </c>
      <c r="R101" s="428">
        <v>6152</v>
      </c>
      <c r="S101" s="428">
        <v>6152</v>
      </c>
      <c r="T101" s="428">
        <v>6152</v>
      </c>
      <c r="U101" s="428">
        <v>6152</v>
      </c>
      <c r="V101" s="428">
        <v>6152</v>
      </c>
      <c r="W101" s="428">
        <v>16918</v>
      </c>
      <c r="X101" s="344">
        <f t="shared" si="2"/>
        <v>106070</v>
      </c>
      <c r="Y101" s="420"/>
    </row>
    <row r="102" spans="1:25" s="419" customFormat="1" ht="13.5" customHeight="1">
      <c r="A102" s="540"/>
      <c r="B102" s="435" t="s">
        <v>905</v>
      </c>
      <c r="C102" s="599"/>
      <c r="D102" s="595"/>
      <c r="E102" s="597"/>
      <c r="F102" s="538"/>
      <c r="G102" s="412">
        <v>0.04645</v>
      </c>
      <c r="H102" s="426">
        <v>5025</v>
      </c>
      <c r="I102" s="426">
        <v>4815</v>
      </c>
      <c r="J102" s="426">
        <v>4260</v>
      </c>
      <c r="K102" s="426">
        <v>3645</v>
      </c>
      <c r="L102" s="426">
        <v>3405</v>
      </c>
      <c r="M102" s="426">
        <v>3145</v>
      </c>
      <c r="N102" s="426">
        <v>2895</v>
      </c>
      <c r="O102" s="426">
        <v>2645</v>
      </c>
      <c r="P102" s="426">
        <v>2405</v>
      </c>
      <c r="Q102" s="426">
        <v>2145</v>
      </c>
      <c r="R102" s="426">
        <v>1900</v>
      </c>
      <c r="S102" s="426">
        <v>1650</v>
      </c>
      <c r="T102" s="426">
        <v>1405</v>
      </c>
      <c r="U102" s="426">
        <v>1150</v>
      </c>
      <c r="V102" s="426">
        <v>900</v>
      </c>
      <c r="W102" s="426">
        <v>1200</v>
      </c>
      <c r="X102" s="339">
        <f t="shared" si="2"/>
        <v>42590</v>
      </c>
      <c r="Y102" s="420"/>
    </row>
    <row r="103" spans="1:25" s="419" customFormat="1" ht="13.5" customHeight="1">
      <c r="A103" s="539">
        <v>48</v>
      </c>
      <c r="B103" s="348" t="s">
        <v>741</v>
      </c>
      <c r="C103" s="598" t="s">
        <v>904</v>
      </c>
      <c r="D103" s="594">
        <v>682</v>
      </c>
      <c r="E103" s="596">
        <v>603918</v>
      </c>
      <c r="F103" s="537" t="s">
        <v>902</v>
      </c>
      <c r="G103" s="417" t="s">
        <v>734</v>
      </c>
      <c r="H103" s="428">
        <v>13121</v>
      </c>
      <c r="I103" s="428">
        <v>26264</v>
      </c>
      <c r="J103" s="428">
        <v>26264</v>
      </c>
      <c r="K103" s="428">
        <v>26264</v>
      </c>
      <c r="L103" s="428">
        <v>26264</v>
      </c>
      <c r="M103" s="428">
        <v>26264</v>
      </c>
      <c r="N103" s="428">
        <v>26264</v>
      </c>
      <c r="O103" s="428">
        <v>26264</v>
      </c>
      <c r="P103" s="428">
        <v>26264</v>
      </c>
      <c r="Q103" s="428">
        <v>26264</v>
      </c>
      <c r="R103" s="428">
        <v>26264</v>
      </c>
      <c r="S103" s="428">
        <v>26264</v>
      </c>
      <c r="T103" s="428">
        <v>26264</v>
      </c>
      <c r="U103" s="428">
        <v>26264</v>
      </c>
      <c r="V103" s="428">
        <v>26264</v>
      </c>
      <c r="W103" s="428">
        <v>72226</v>
      </c>
      <c r="X103" s="344">
        <f t="shared" si="2"/>
        <v>453043</v>
      </c>
      <c r="Y103" s="420"/>
    </row>
    <row r="104" spans="1:25" s="419" customFormat="1" ht="13.5" customHeight="1">
      <c r="A104" s="540"/>
      <c r="B104" s="435" t="s">
        <v>903</v>
      </c>
      <c r="C104" s="599"/>
      <c r="D104" s="595"/>
      <c r="E104" s="597"/>
      <c r="F104" s="538"/>
      <c r="G104" s="412">
        <v>0.05245</v>
      </c>
      <c r="H104" s="426">
        <v>24100</v>
      </c>
      <c r="I104" s="426">
        <v>22765</v>
      </c>
      <c r="J104" s="426">
        <v>19745</v>
      </c>
      <c r="K104" s="426">
        <v>15550</v>
      </c>
      <c r="L104" s="426">
        <v>14525</v>
      </c>
      <c r="M104" s="426">
        <v>13420</v>
      </c>
      <c r="N104" s="426">
        <v>12355</v>
      </c>
      <c r="O104" s="426">
        <v>11290</v>
      </c>
      <c r="P104" s="426">
        <v>10250</v>
      </c>
      <c r="Q104" s="426">
        <v>9160</v>
      </c>
      <c r="R104" s="426">
        <v>8095</v>
      </c>
      <c r="S104" s="426">
        <v>7030</v>
      </c>
      <c r="T104" s="426">
        <v>5980</v>
      </c>
      <c r="U104" s="426">
        <v>4900</v>
      </c>
      <c r="V104" s="426">
        <v>3835</v>
      </c>
      <c r="W104" s="426">
        <v>5105</v>
      </c>
      <c r="X104" s="339">
        <f t="shared" si="2"/>
        <v>188105</v>
      </c>
      <c r="Y104" s="420"/>
    </row>
    <row r="105" spans="1:25" s="419" customFormat="1" ht="18" customHeight="1">
      <c r="A105" s="539">
        <v>49</v>
      </c>
      <c r="B105" s="348" t="s">
        <v>741</v>
      </c>
      <c r="C105" s="598" t="s">
        <v>865</v>
      </c>
      <c r="D105" s="594">
        <v>683</v>
      </c>
      <c r="E105" s="596">
        <v>431815</v>
      </c>
      <c r="F105" s="537" t="s">
        <v>902</v>
      </c>
      <c r="G105" s="417" t="s">
        <v>734</v>
      </c>
      <c r="H105" s="428">
        <v>12462</v>
      </c>
      <c r="I105" s="428">
        <v>25036</v>
      </c>
      <c r="J105" s="428">
        <v>25036</v>
      </c>
      <c r="K105" s="428">
        <v>25036</v>
      </c>
      <c r="L105" s="428">
        <v>25036</v>
      </c>
      <c r="M105" s="428">
        <v>25036</v>
      </c>
      <c r="N105" s="428">
        <v>25036</v>
      </c>
      <c r="O105" s="428">
        <v>25036</v>
      </c>
      <c r="P105" s="428">
        <v>25036</v>
      </c>
      <c r="Q105" s="428">
        <v>25036</v>
      </c>
      <c r="R105" s="428">
        <v>25036</v>
      </c>
      <c r="S105" s="428">
        <v>25036</v>
      </c>
      <c r="T105" s="428">
        <v>25036</v>
      </c>
      <c r="U105" s="428">
        <v>25036</v>
      </c>
      <c r="V105" s="428">
        <v>25036</v>
      </c>
      <c r="W105" s="428">
        <v>68849</v>
      </c>
      <c r="X105" s="344">
        <f t="shared" si="2"/>
        <v>431815</v>
      </c>
      <c r="Y105" s="420"/>
    </row>
    <row r="106" spans="1:25" s="419" customFormat="1" ht="18" customHeight="1">
      <c r="A106" s="540"/>
      <c r="B106" s="435" t="s">
        <v>901</v>
      </c>
      <c r="C106" s="599"/>
      <c r="D106" s="595"/>
      <c r="E106" s="597"/>
      <c r="F106" s="538"/>
      <c r="G106" s="412">
        <v>0.04645</v>
      </c>
      <c r="H106" s="426">
        <v>20335</v>
      </c>
      <c r="I106" s="426">
        <v>19070</v>
      </c>
      <c r="J106" s="426">
        <v>16735</v>
      </c>
      <c r="K106" s="426">
        <v>14820</v>
      </c>
      <c r="L106" s="426">
        <v>13845</v>
      </c>
      <c r="M106" s="426">
        <v>12790</v>
      </c>
      <c r="N106" s="426">
        <v>11775</v>
      </c>
      <c r="O106" s="426">
        <v>10760</v>
      </c>
      <c r="P106" s="426">
        <v>9770</v>
      </c>
      <c r="Q106" s="426">
        <v>8730</v>
      </c>
      <c r="R106" s="426">
        <v>7715</v>
      </c>
      <c r="S106" s="426">
        <v>6700</v>
      </c>
      <c r="T106" s="426">
        <v>5700</v>
      </c>
      <c r="U106" s="426">
        <v>4670</v>
      </c>
      <c r="V106" s="426">
        <v>3655</v>
      </c>
      <c r="W106" s="426">
        <v>4870</v>
      </c>
      <c r="X106" s="339">
        <f t="shared" si="2"/>
        <v>171940</v>
      </c>
      <c r="Y106" s="420"/>
    </row>
    <row r="107" spans="1:25" s="419" customFormat="1" ht="20.25" customHeight="1">
      <c r="A107" s="539">
        <v>50</v>
      </c>
      <c r="B107" s="347" t="s">
        <v>741</v>
      </c>
      <c r="C107" s="598" t="s">
        <v>824</v>
      </c>
      <c r="D107" s="594">
        <v>684</v>
      </c>
      <c r="E107" s="596">
        <v>3381381</v>
      </c>
      <c r="F107" s="537" t="s">
        <v>900</v>
      </c>
      <c r="G107" s="417" t="s">
        <v>734</v>
      </c>
      <c r="H107" s="428">
        <v>25013</v>
      </c>
      <c r="I107" s="428">
        <v>60000</v>
      </c>
      <c r="J107" s="428">
        <v>100000</v>
      </c>
      <c r="K107" s="428">
        <v>130464</v>
      </c>
      <c r="L107" s="428">
        <v>130464</v>
      </c>
      <c r="M107" s="428">
        <v>130464</v>
      </c>
      <c r="N107" s="428">
        <v>130464</v>
      </c>
      <c r="O107" s="428">
        <v>130464</v>
      </c>
      <c r="P107" s="428">
        <v>130464</v>
      </c>
      <c r="Q107" s="428">
        <v>130464</v>
      </c>
      <c r="R107" s="428">
        <v>130464</v>
      </c>
      <c r="S107" s="428">
        <v>130464</v>
      </c>
      <c r="T107" s="428">
        <v>130464</v>
      </c>
      <c r="U107" s="427">
        <v>130464</v>
      </c>
      <c r="V107" s="427">
        <v>130464</v>
      </c>
      <c r="W107" s="427">
        <v>1614824.14</v>
      </c>
      <c r="X107" s="344">
        <f t="shared" si="2"/>
        <v>3365405.1399999997</v>
      </c>
      <c r="Y107" s="420"/>
    </row>
    <row r="108" spans="1:25" s="419" customFormat="1" ht="20.25" customHeight="1">
      <c r="A108" s="540"/>
      <c r="B108" s="422" t="s">
        <v>899</v>
      </c>
      <c r="C108" s="599"/>
      <c r="D108" s="595"/>
      <c r="E108" s="597"/>
      <c r="F108" s="538"/>
      <c r="G108" s="412">
        <v>0.04845</v>
      </c>
      <c r="H108" s="426">
        <v>165365</v>
      </c>
      <c r="I108" s="426">
        <v>159530</v>
      </c>
      <c r="J108" s="426">
        <v>144740</v>
      </c>
      <c r="K108" s="426">
        <v>128100</v>
      </c>
      <c r="L108" s="426">
        <v>123215</v>
      </c>
      <c r="M108" s="426">
        <v>117585</v>
      </c>
      <c r="N108" s="426">
        <v>112295</v>
      </c>
      <c r="O108" s="426">
        <v>107005</v>
      </c>
      <c r="P108" s="426">
        <v>101995</v>
      </c>
      <c r="Q108" s="426">
        <v>96425</v>
      </c>
      <c r="R108" s="426">
        <v>91130</v>
      </c>
      <c r="S108" s="426">
        <v>85840</v>
      </c>
      <c r="T108" s="426">
        <v>80775</v>
      </c>
      <c r="U108" s="426">
        <v>75260</v>
      </c>
      <c r="V108" s="426">
        <v>69970</v>
      </c>
      <c r="W108" s="426">
        <v>428610</v>
      </c>
      <c r="X108" s="339">
        <f t="shared" si="2"/>
        <v>2087840</v>
      </c>
      <c r="Y108" s="420"/>
    </row>
    <row r="109" spans="1:25" s="419" customFormat="1" ht="13.5" customHeight="1">
      <c r="A109" s="539">
        <v>51</v>
      </c>
      <c r="B109" s="348" t="s">
        <v>741</v>
      </c>
      <c r="C109" s="598" t="s">
        <v>898</v>
      </c>
      <c r="D109" s="594">
        <v>685</v>
      </c>
      <c r="E109" s="596">
        <f>356301+57894-500.88</f>
        <v>413694.12</v>
      </c>
      <c r="F109" s="537" t="s">
        <v>897</v>
      </c>
      <c r="G109" s="417" t="s">
        <v>734</v>
      </c>
      <c r="H109" s="428">
        <v>11962.119999999999</v>
      </c>
      <c r="I109" s="428">
        <v>23984</v>
      </c>
      <c r="J109" s="428">
        <v>23984</v>
      </c>
      <c r="K109" s="428">
        <v>23984</v>
      </c>
      <c r="L109" s="428">
        <v>23984</v>
      </c>
      <c r="M109" s="428">
        <v>23984</v>
      </c>
      <c r="N109" s="428">
        <v>23984</v>
      </c>
      <c r="O109" s="428">
        <v>23984</v>
      </c>
      <c r="P109" s="428">
        <v>23984</v>
      </c>
      <c r="Q109" s="428">
        <v>23984</v>
      </c>
      <c r="R109" s="428">
        <v>23984</v>
      </c>
      <c r="S109" s="428">
        <v>23984</v>
      </c>
      <c r="T109" s="428">
        <v>23984</v>
      </c>
      <c r="U109" s="428">
        <v>23984</v>
      </c>
      <c r="V109" s="428">
        <v>23984</v>
      </c>
      <c r="W109" s="428">
        <v>65956</v>
      </c>
      <c r="X109" s="344">
        <f t="shared" si="2"/>
        <v>413694.12</v>
      </c>
      <c r="Y109" s="420"/>
    </row>
    <row r="110" spans="1:25" s="419" customFormat="1" ht="13.5" customHeight="1">
      <c r="A110" s="540"/>
      <c r="B110" s="434" t="s">
        <v>896</v>
      </c>
      <c r="C110" s="599"/>
      <c r="D110" s="595"/>
      <c r="E110" s="597"/>
      <c r="F110" s="538"/>
      <c r="G110" s="412">
        <v>0.04645</v>
      </c>
      <c r="H110" s="426">
        <v>19485</v>
      </c>
      <c r="I110" s="426">
        <v>18270</v>
      </c>
      <c r="J110" s="426">
        <v>16030</v>
      </c>
      <c r="K110" s="426">
        <v>14200</v>
      </c>
      <c r="L110" s="426">
        <v>13265</v>
      </c>
      <c r="M110" s="426">
        <v>12255</v>
      </c>
      <c r="N110" s="426">
        <v>11280</v>
      </c>
      <c r="O110" s="426">
        <v>10310</v>
      </c>
      <c r="P110" s="426">
        <v>9360</v>
      </c>
      <c r="Q110" s="426">
        <v>8365</v>
      </c>
      <c r="R110" s="426">
        <v>7390</v>
      </c>
      <c r="S110" s="426">
        <v>6420</v>
      </c>
      <c r="T110" s="426">
        <v>5460</v>
      </c>
      <c r="U110" s="426">
        <v>4475</v>
      </c>
      <c r="V110" s="426">
        <v>3500</v>
      </c>
      <c r="W110" s="426">
        <v>4665</v>
      </c>
      <c r="X110" s="339">
        <f t="shared" si="2"/>
        <v>164730</v>
      </c>
      <c r="Y110" s="420"/>
    </row>
    <row r="111" spans="1:25" s="419" customFormat="1" ht="22.5" customHeight="1">
      <c r="A111" s="539">
        <v>52</v>
      </c>
      <c r="B111" s="347" t="s">
        <v>741</v>
      </c>
      <c r="C111" s="598" t="s">
        <v>226</v>
      </c>
      <c r="D111" s="594">
        <v>686</v>
      </c>
      <c r="E111" s="596">
        <f>57959+23673+506197</f>
        <v>587829</v>
      </c>
      <c r="F111" s="537" t="s">
        <v>895</v>
      </c>
      <c r="G111" s="417" t="s">
        <v>734</v>
      </c>
      <c r="H111" s="428">
        <v>59524</v>
      </c>
      <c r="I111" s="428">
        <v>59524</v>
      </c>
      <c r="J111" s="428">
        <v>59524</v>
      </c>
      <c r="K111" s="428">
        <v>59524</v>
      </c>
      <c r="L111" s="428">
        <v>59524</v>
      </c>
      <c r="M111" s="428">
        <v>59524</v>
      </c>
      <c r="N111" s="428">
        <v>59524</v>
      </c>
      <c r="O111" s="428">
        <v>44635.96</v>
      </c>
      <c r="P111" s="428"/>
      <c r="Q111" s="428"/>
      <c r="R111" s="428"/>
      <c r="S111" s="428"/>
      <c r="T111" s="428"/>
      <c r="U111" s="428"/>
      <c r="V111" s="428"/>
      <c r="W111" s="428"/>
      <c r="X111" s="344">
        <f t="shared" si="2"/>
        <v>461303.96</v>
      </c>
      <c r="Y111" s="420"/>
    </row>
    <row r="112" spans="1:25" s="419" customFormat="1" ht="22.5" customHeight="1">
      <c r="A112" s="540"/>
      <c r="B112" s="433" t="s">
        <v>894</v>
      </c>
      <c r="C112" s="599"/>
      <c r="D112" s="595"/>
      <c r="E112" s="597"/>
      <c r="F112" s="538"/>
      <c r="G112" s="412">
        <v>0.04538</v>
      </c>
      <c r="H112" s="426">
        <v>21035</v>
      </c>
      <c r="I112" s="426">
        <v>18710</v>
      </c>
      <c r="J112" s="426">
        <v>15320</v>
      </c>
      <c r="K112" s="426">
        <v>11095</v>
      </c>
      <c r="L112" s="426">
        <v>8710</v>
      </c>
      <c r="M112" s="426">
        <v>6270</v>
      </c>
      <c r="N112" s="426">
        <v>3855</v>
      </c>
      <c r="O112" s="426">
        <v>1440</v>
      </c>
      <c r="P112" s="426"/>
      <c r="Q112" s="426"/>
      <c r="R112" s="426"/>
      <c r="S112" s="426"/>
      <c r="T112" s="426"/>
      <c r="U112" s="426"/>
      <c r="V112" s="426"/>
      <c r="W112" s="426"/>
      <c r="X112" s="339">
        <f t="shared" si="2"/>
        <v>86435</v>
      </c>
      <c r="Y112" s="420"/>
    </row>
    <row r="113" spans="1:25" s="419" customFormat="1" ht="26.25" customHeight="1">
      <c r="A113" s="539">
        <v>53</v>
      </c>
      <c r="B113" s="347" t="s">
        <v>741</v>
      </c>
      <c r="C113" s="598" t="s">
        <v>893</v>
      </c>
      <c r="D113" s="594">
        <v>687</v>
      </c>
      <c r="E113" s="596">
        <v>400000</v>
      </c>
      <c r="F113" s="537" t="s">
        <v>890</v>
      </c>
      <c r="G113" s="417" t="s">
        <v>734</v>
      </c>
      <c r="H113" s="428">
        <v>11380</v>
      </c>
      <c r="I113" s="428">
        <v>22860</v>
      </c>
      <c r="J113" s="428">
        <v>22860</v>
      </c>
      <c r="K113" s="428">
        <v>22860</v>
      </c>
      <c r="L113" s="428">
        <v>22860</v>
      </c>
      <c r="M113" s="428">
        <v>22860</v>
      </c>
      <c r="N113" s="428">
        <v>22860</v>
      </c>
      <c r="O113" s="428">
        <v>22860</v>
      </c>
      <c r="P113" s="428">
        <v>22860</v>
      </c>
      <c r="Q113" s="428">
        <v>22860</v>
      </c>
      <c r="R113" s="428">
        <v>22860</v>
      </c>
      <c r="S113" s="428">
        <v>22860</v>
      </c>
      <c r="T113" s="428">
        <v>22860</v>
      </c>
      <c r="U113" s="428">
        <v>22860</v>
      </c>
      <c r="V113" s="428">
        <v>22860</v>
      </c>
      <c r="W113" s="428">
        <v>68580</v>
      </c>
      <c r="X113" s="344">
        <f t="shared" si="2"/>
        <v>400000</v>
      </c>
      <c r="Y113" s="420"/>
    </row>
    <row r="114" spans="1:25" s="419" customFormat="1" ht="26.25" customHeight="1">
      <c r="A114" s="540"/>
      <c r="B114" s="433" t="s">
        <v>892</v>
      </c>
      <c r="C114" s="599"/>
      <c r="D114" s="595"/>
      <c r="E114" s="597"/>
      <c r="F114" s="538"/>
      <c r="G114" s="412">
        <v>0.04648</v>
      </c>
      <c r="H114" s="426">
        <v>18480</v>
      </c>
      <c r="I114" s="426">
        <v>17575</v>
      </c>
      <c r="J114" s="426">
        <v>16530</v>
      </c>
      <c r="K114" s="426">
        <v>13765</v>
      </c>
      <c r="L114" s="426">
        <v>12875</v>
      </c>
      <c r="M114" s="426">
        <v>11910</v>
      </c>
      <c r="N114" s="426">
        <v>10985</v>
      </c>
      <c r="O114" s="426">
        <v>10060</v>
      </c>
      <c r="P114" s="426">
        <v>9155</v>
      </c>
      <c r="Q114" s="426">
        <v>8205</v>
      </c>
      <c r="R114" s="426">
        <v>7275</v>
      </c>
      <c r="S114" s="426">
        <v>6350</v>
      </c>
      <c r="T114" s="426">
        <v>5435</v>
      </c>
      <c r="U114" s="426">
        <v>4495</v>
      </c>
      <c r="V114" s="426">
        <v>3570</v>
      </c>
      <c r="W114" s="426">
        <v>5195</v>
      </c>
      <c r="X114" s="339">
        <f t="shared" si="2"/>
        <v>161860</v>
      </c>
      <c r="Y114" s="420"/>
    </row>
    <row r="115" spans="1:25" s="430" customFormat="1" ht="22.5" customHeight="1">
      <c r="A115" s="539">
        <v>54</v>
      </c>
      <c r="B115" s="347" t="s">
        <v>741</v>
      </c>
      <c r="C115" s="598" t="s">
        <v>891</v>
      </c>
      <c r="D115" s="594">
        <v>688</v>
      </c>
      <c r="E115" s="596">
        <f>165287-28.01</f>
        <v>165258.99</v>
      </c>
      <c r="F115" s="537" t="s">
        <v>890</v>
      </c>
      <c r="G115" s="417" t="s">
        <v>734</v>
      </c>
      <c r="H115" s="427">
        <f>2359-28.01</f>
        <v>2330.99</v>
      </c>
      <c r="I115" s="428">
        <v>9584</v>
      </c>
      <c r="J115" s="428">
        <v>9584</v>
      </c>
      <c r="K115" s="428">
        <v>9584</v>
      </c>
      <c r="L115" s="428">
        <v>9584</v>
      </c>
      <c r="M115" s="428">
        <v>9584</v>
      </c>
      <c r="N115" s="428">
        <v>9584</v>
      </c>
      <c r="O115" s="428">
        <v>9584</v>
      </c>
      <c r="P115" s="428">
        <v>9584</v>
      </c>
      <c r="Q115" s="428">
        <v>9584</v>
      </c>
      <c r="R115" s="428">
        <v>9584</v>
      </c>
      <c r="S115" s="428">
        <v>9584</v>
      </c>
      <c r="T115" s="428">
        <v>9584</v>
      </c>
      <c r="U115" s="428">
        <v>9584</v>
      </c>
      <c r="V115" s="428">
        <v>9584</v>
      </c>
      <c r="W115" s="428">
        <v>28752</v>
      </c>
      <c r="X115" s="344">
        <f t="shared" si="2"/>
        <v>165258.99</v>
      </c>
      <c r="Y115" s="420"/>
    </row>
    <row r="116" spans="1:25" s="430" customFormat="1" ht="22.5" customHeight="1">
      <c r="A116" s="540"/>
      <c r="B116" s="422" t="s">
        <v>889</v>
      </c>
      <c r="C116" s="599"/>
      <c r="D116" s="595"/>
      <c r="E116" s="597"/>
      <c r="F116" s="538"/>
      <c r="G116" s="412">
        <v>0.04648</v>
      </c>
      <c r="H116" s="426">
        <v>7640</v>
      </c>
      <c r="I116" s="426">
        <v>7370</v>
      </c>
      <c r="J116" s="426">
        <v>6930</v>
      </c>
      <c r="K116" s="426">
        <v>5775</v>
      </c>
      <c r="L116" s="426">
        <v>5400</v>
      </c>
      <c r="M116" s="426">
        <v>4995</v>
      </c>
      <c r="N116" s="426">
        <v>4605</v>
      </c>
      <c r="O116" s="426">
        <v>4220</v>
      </c>
      <c r="P116" s="426">
        <v>3840</v>
      </c>
      <c r="Q116" s="426">
        <v>3440</v>
      </c>
      <c r="R116" s="426">
        <v>3050</v>
      </c>
      <c r="S116" s="426">
        <v>2665</v>
      </c>
      <c r="T116" s="426">
        <v>2280</v>
      </c>
      <c r="U116" s="426">
        <v>1885</v>
      </c>
      <c r="V116" s="426">
        <v>1500</v>
      </c>
      <c r="W116" s="426">
        <v>2180</v>
      </c>
      <c r="X116" s="339">
        <f t="shared" si="2"/>
        <v>67775</v>
      </c>
      <c r="Y116" s="420"/>
    </row>
    <row r="117" spans="1:25" s="430" customFormat="1" ht="13.5" customHeight="1">
      <c r="A117" s="539">
        <v>55</v>
      </c>
      <c r="B117" s="347" t="s">
        <v>741</v>
      </c>
      <c r="C117" s="598" t="s">
        <v>888</v>
      </c>
      <c r="D117" s="594">
        <v>689</v>
      </c>
      <c r="E117" s="596">
        <v>182387</v>
      </c>
      <c r="F117" s="537" t="s">
        <v>887</v>
      </c>
      <c r="G117" s="417" t="s">
        <v>734</v>
      </c>
      <c r="H117" s="432">
        <v>56120</v>
      </c>
      <c r="I117" s="432">
        <v>56120</v>
      </c>
      <c r="J117" s="432">
        <v>56120</v>
      </c>
      <c r="K117" s="428"/>
      <c r="L117" s="428"/>
      <c r="M117" s="428"/>
      <c r="N117" s="428"/>
      <c r="O117" s="428"/>
      <c r="P117" s="428"/>
      <c r="Q117" s="428"/>
      <c r="R117" s="428"/>
      <c r="S117" s="428"/>
      <c r="T117" s="428"/>
      <c r="U117" s="428"/>
      <c r="V117" s="428"/>
      <c r="W117" s="428"/>
      <c r="X117" s="344">
        <f t="shared" si="2"/>
        <v>168360</v>
      </c>
      <c r="Y117" s="420"/>
    </row>
    <row r="118" spans="1:25" s="430" customFormat="1" ht="13.5" customHeight="1">
      <c r="A118" s="540"/>
      <c r="B118" s="422" t="s">
        <v>886</v>
      </c>
      <c r="C118" s="599"/>
      <c r="D118" s="595"/>
      <c r="E118" s="597"/>
      <c r="F118" s="538"/>
      <c r="G118" s="412">
        <v>0.04436</v>
      </c>
      <c r="H118" s="431">
        <v>6845</v>
      </c>
      <c r="I118" s="431">
        <v>4730</v>
      </c>
      <c r="J118" s="431">
        <v>2170</v>
      </c>
      <c r="K118" s="426">
        <v>145</v>
      </c>
      <c r="L118" s="426"/>
      <c r="M118" s="426"/>
      <c r="N118" s="426"/>
      <c r="O118" s="426"/>
      <c r="P118" s="426"/>
      <c r="Q118" s="426"/>
      <c r="R118" s="426"/>
      <c r="S118" s="426"/>
      <c r="T118" s="426"/>
      <c r="U118" s="426"/>
      <c r="V118" s="426"/>
      <c r="W118" s="426"/>
      <c r="X118" s="339">
        <f t="shared" si="2"/>
        <v>13890</v>
      </c>
      <c r="Y118" s="420"/>
    </row>
    <row r="119" spans="1:25" s="419" customFormat="1" ht="13.5" customHeight="1">
      <c r="A119" s="539">
        <v>56</v>
      </c>
      <c r="B119" s="347" t="s">
        <v>741</v>
      </c>
      <c r="C119" s="598" t="s">
        <v>885</v>
      </c>
      <c r="D119" s="594">
        <v>690</v>
      </c>
      <c r="E119" s="596">
        <v>1554321</v>
      </c>
      <c r="F119" s="537" t="s">
        <v>884</v>
      </c>
      <c r="G119" s="417" t="s">
        <v>734</v>
      </c>
      <c r="H119" s="432">
        <v>1971</v>
      </c>
      <c r="I119" s="432">
        <v>10000</v>
      </c>
      <c r="J119" s="432">
        <v>20000</v>
      </c>
      <c r="K119" s="432">
        <v>60000</v>
      </c>
      <c r="L119" s="432">
        <v>77992</v>
      </c>
      <c r="M119" s="432">
        <v>77992</v>
      </c>
      <c r="N119" s="432">
        <v>77992</v>
      </c>
      <c r="O119" s="432">
        <v>77992</v>
      </c>
      <c r="P119" s="432">
        <v>77992</v>
      </c>
      <c r="Q119" s="432">
        <v>77992</v>
      </c>
      <c r="R119" s="432">
        <v>77992</v>
      </c>
      <c r="S119" s="432">
        <v>77992</v>
      </c>
      <c r="T119" s="432">
        <v>77992</v>
      </c>
      <c r="U119" s="428">
        <v>77992</v>
      </c>
      <c r="V119" s="428">
        <v>77992</v>
      </c>
      <c r="W119" s="428">
        <v>604438</v>
      </c>
      <c r="X119" s="344">
        <f t="shared" si="2"/>
        <v>1554321</v>
      </c>
      <c r="Y119" s="420"/>
    </row>
    <row r="120" spans="1:25" s="419" customFormat="1" ht="13.5" customHeight="1">
      <c r="A120" s="540"/>
      <c r="B120" s="422" t="s">
        <v>883</v>
      </c>
      <c r="C120" s="599"/>
      <c r="D120" s="595"/>
      <c r="E120" s="597"/>
      <c r="F120" s="538"/>
      <c r="G120" s="412">
        <v>0.04791</v>
      </c>
      <c r="H120" s="431">
        <v>72820</v>
      </c>
      <c r="I120" s="431">
        <v>70755</v>
      </c>
      <c r="J120" s="431">
        <v>70205</v>
      </c>
      <c r="K120" s="431">
        <v>61275</v>
      </c>
      <c r="L120" s="431">
        <v>58945</v>
      </c>
      <c r="M120" s="431">
        <v>55660</v>
      </c>
      <c r="N120" s="431">
        <v>52495</v>
      </c>
      <c r="O120" s="431">
        <v>49330</v>
      </c>
      <c r="P120" s="431">
        <v>46295</v>
      </c>
      <c r="Q120" s="431">
        <v>43005</v>
      </c>
      <c r="R120" s="431">
        <v>39845</v>
      </c>
      <c r="S120" s="431">
        <v>36680</v>
      </c>
      <c r="T120" s="431">
        <v>33610</v>
      </c>
      <c r="U120" s="426">
        <v>30355</v>
      </c>
      <c r="V120" s="426">
        <v>27190</v>
      </c>
      <c r="W120" s="426">
        <v>103730</v>
      </c>
      <c r="X120" s="339">
        <f t="shared" si="2"/>
        <v>852195</v>
      </c>
      <c r="Y120" s="420"/>
    </row>
    <row r="121" spans="1:25" s="419" customFormat="1" ht="25.5" customHeight="1">
      <c r="A121" s="539">
        <v>57</v>
      </c>
      <c r="B121" s="347" t="s">
        <v>741</v>
      </c>
      <c r="C121" s="598" t="s">
        <v>882</v>
      </c>
      <c r="D121" s="594">
        <v>691</v>
      </c>
      <c r="E121" s="596">
        <f>102741-5539.61</f>
        <v>97201.39</v>
      </c>
      <c r="F121" s="537" t="s">
        <v>881</v>
      </c>
      <c r="G121" s="417" t="s">
        <v>734</v>
      </c>
      <c r="H121" s="428">
        <f>31616-1704</f>
        <v>29912</v>
      </c>
      <c r="I121" s="428">
        <f>31616-1704</f>
        <v>29912</v>
      </c>
      <c r="J121" s="428">
        <f>31616-1704</f>
        <v>29912</v>
      </c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428"/>
      <c r="X121" s="344">
        <f t="shared" si="2"/>
        <v>89736</v>
      </c>
      <c r="Y121" s="420"/>
    </row>
    <row r="122" spans="1:25" s="419" customFormat="1" ht="25.5" customHeight="1">
      <c r="A122" s="540"/>
      <c r="B122" s="422" t="s">
        <v>880</v>
      </c>
      <c r="C122" s="599"/>
      <c r="D122" s="595"/>
      <c r="E122" s="597"/>
      <c r="F122" s="538"/>
      <c r="G122" s="412">
        <v>0.04016</v>
      </c>
      <c r="H122" s="426">
        <v>3390</v>
      </c>
      <c r="I122" s="426">
        <v>2355</v>
      </c>
      <c r="J122" s="426">
        <v>1080</v>
      </c>
      <c r="K122" s="426">
        <v>75</v>
      </c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339">
        <f t="shared" si="2"/>
        <v>6900</v>
      </c>
      <c r="Y122" s="420"/>
    </row>
    <row r="123" spans="1:25" s="430" customFormat="1" ht="13.5" customHeight="1">
      <c r="A123" s="539">
        <v>58</v>
      </c>
      <c r="B123" s="347" t="s">
        <v>741</v>
      </c>
      <c r="C123" s="598" t="s">
        <v>879</v>
      </c>
      <c r="D123" s="594">
        <v>692</v>
      </c>
      <c r="E123" s="596">
        <f>227931-0.13</f>
        <v>227930.87</v>
      </c>
      <c r="F123" s="602" t="s">
        <v>876</v>
      </c>
      <c r="G123" s="417" t="s">
        <v>734</v>
      </c>
      <c r="H123" s="427"/>
      <c r="I123" s="428">
        <v>13171</v>
      </c>
      <c r="J123" s="428">
        <v>13216</v>
      </c>
      <c r="K123" s="428">
        <v>13216</v>
      </c>
      <c r="L123" s="428">
        <v>13216</v>
      </c>
      <c r="M123" s="428">
        <v>13216</v>
      </c>
      <c r="N123" s="428">
        <v>13216</v>
      </c>
      <c r="O123" s="428">
        <v>13216</v>
      </c>
      <c r="P123" s="428">
        <v>13216</v>
      </c>
      <c r="Q123" s="428">
        <v>13216</v>
      </c>
      <c r="R123" s="428">
        <v>13216</v>
      </c>
      <c r="S123" s="428">
        <v>13216</v>
      </c>
      <c r="T123" s="428">
        <v>13216</v>
      </c>
      <c r="U123" s="428">
        <v>13216</v>
      </c>
      <c r="V123" s="427">
        <v>13216</v>
      </c>
      <c r="W123" s="428">
        <v>42951.87</v>
      </c>
      <c r="X123" s="344">
        <f t="shared" si="2"/>
        <v>227930.87</v>
      </c>
      <c r="Y123" s="420"/>
    </row>
    <row r="124" spans="1:25" s="430" customFormat="1" ht="13.5" customHeight="1">
      <c r="A124" s="540"/>
      <c r="B124" s="422" t="s">
        <v>878</v>
      </c>
      <c r="C124" s="599"/>
      <c r="D124" s="595"/>
      <c r="E124" s="597"/>
      <c r="F124" s="603"/>
      <c r="G124" s="412">
        <v>0.04594</v>
      </c>
      <c r="H124" s="426">
        <v>11350</v>
      </c>
      <c r="I124" s="426">
        <v>10230</v>
      </c>
      <c r="J124" s="426">
        <v>9275</v>
      </c>
      <c r="K124" s="426">
        <v>8250</v>
      </c>
      <c r="L124" s="426">
        <v>7580</v>
      </c>
      <c r="M124" s="426">
        <v>7020</v>
      </c>
      <c r="N124" s="426">
        <v>6485</v>
      </c>
      <c r="O124" s="426">
        <v>5950</v>
      </c>
      <c r="P124" s="426">
        <v>5430</v>
      </c>
      <c r="Q124" s="426">
        <v>4880</v>
      </c>
      <c r="R124" s="426">
        <v>4340</v>
      </c>
      <c r="S124" s="426">
        <v>3805</v>
      </c>
      <c r="T124" s="426">
        <v>3280</v>
      </c>
      <c r="U124" s="426">
        <v>2735</v>
      </c>
      <c r="V124" s="426">
        <v>2200</v>
      </c>
      <c r="W124" s="426">
        <v>3470</v>
      </c>
      <c r="X124" s="339">
        <f t="shared" si="2"/>
        <v>96280</v>
      </c>
      <c r="Y124" s="420"/>
    </row>
    <row r="125" spans="1:25" s="419" customFormat="1" ht="26.25" customHeight="1">
      <c r="A125" s="539">
        <v>59</v>
      </c>
      <c r="B125" s="347" t="s">
        <v>741</v>
      </c>
      <c r="C125" s="598" t="s">
        <v>877</v>
      </c>
      <c r="D125" s="594">
        <v>693</v>
      </c>
      <c r="E125" s="596">
        <v>281144</v>
      </c>
      <c r="F125" s="602" t="s">
        <v>876</v>
      </c>
      <c r="G125" s="417" t="s">
        <v>734</v>
      </c>
      <c r="H125" s="427"/>
      <c r="I125" s="428">
        <v>14588</v>
      </c>
      <c r="J125" s="428">
        <v>14588</v>
      </c>
      <c r="K125" s="428">
        <v>14588</v>
      </c>
      <c r="L125" s="428">
        <v>9800.14</v>
      </c>
      <c r="M125" s="428"/>
      <c r="N125" s="428"/>
      <c r="O125" s="428"/>
      <c r="P125" s="428"/>
      <c r="Q125" s="428"/>
      <c r="R125" s="428"/>
      <c r="S125" s="428"/>
      <c r="T125" s="428"/>
      <c r="U125" s="428"/>
      <c r="V125" s="427"/>
      <c r="W125" s="427"/>
      <c r="X125" s="344">
        <f t="shared" si="2"/>
        <v>53564.14</v>
      </c>
      <c r="Y125" s="420"/>
    </row>
    <row r="126" spans="1:25" s="419" customFormat="1" ht="26.25" customHeight="1">
      <c r="A126" s="540"/>
      <c r="B126" s="422" t="s">
        <v>875</v>
      </c>
      <c r="C126" s="599"/>
      <c r="D126" s="595"/>
      <c r="E126" s="597"/>
      <c r="F126" s="603"/>
      <c r="G126" s="412">
        <v>0.04594</v>
      </c>
      <c r="H126" s="426">
        <v>3330</v>
      </c>
      <c r="I126" s="426">
        <v>2375</v>
      </c>
      <c r="J126" s="426">
        <v>1680</v>
      </c>
      <c r="K126" s="426">
        <v>935</v>
      </c>
      <c r="L126" s="426">
        <v>310</v>
      </c>
      <c r="M126" s="426"/>
      <c r="N126" s="426"/>
      <c r="O126" s="426"/>
      <c r="P126" s="426"/>
      <c r="Q126" s="426"/>
      <c r="R126" s="426"/>
      <c r="S126" s="426"/>
      <c r="T126" s="426"/>
      <c r="U126" s="426"/>
      <c r="V126" s="426"/>
      <c r="W126" s="426"/>
      <c r="X126" s="339">
        <f t="shared" si="2"/>
        <v>8630</v>
      </c>
      <c r="Y126" s="420"/>
    </row>
    <row r="127" spans="1:25" s="419" customFormat="1" ht="13.5" customHeight="1">
      <c r="A127" s="539">
        <v>60</v>
      </c>
      <c r="B127" s="347" t="s">
        <v>741</v>
      </c>
      <c r="C127" s="598" t="s">
        <v>874</v>
      </c>
      <c r="D127" s="594">
        <v>695</v>
      </c>
      <c r="E127" s="596">
        <f>476312+31719</f>
        <v>508031</v>
      </c>
      <c r="F127" s="602" t="s">
        <v>873</v>
      </c>
      <c r="G127" s="417" t="s">
        <v>734</v>
      </c>
      <c r="H127" s="429">
        <v>181311.33</v>
      </c>
      <c r="I127" s="428">
        <v>11620</v>
      </c>
      <c r="J127" s="428">
        <v>11620</v>
      </c>
      <c r="K127" s="428">
        <v>11620</v>
      </c>
      <c r="L127" s="428">
        <v>11620</v>
      </c>
      <c r="M127" s="428">
        <v>11620</v>
      </c>
      <c r="N127" s="428">
        <v>11620</v>
      </c>
      <c r="O127" s="428">
        <v>11620</v>
      </c>
      <c r="P127" s="428">
        <v>11620</v>
      </c>
      <c r="Q127" s="428">
        <v>11620</v>
      </c>
      <c r="R127" s="428">
        <v>11620</v>
      </c>
      <c r="S127" s="428">
        <v>11620</v>
      </c>
      <c r="T127" s="428">
        <v>11620</v>
      </c>
      <c r="U127" s="428">
        <v>11620</v>
      </c>
      <c r="V127" s="428">
        <v>11620</v>
      </c>
      <c r="W127" s="428">
        <v>153927.89</v>
      </c>
      <c r="X127" s="344">
        <f t="shared" si="2"/>
        <v>497919.22</v>
      </c>
      <c r="Y127" s="420"/>
    </row>
    <row r="128" spans="1:25" s="419" customFormat="1" ht="13.5" customHeight="1">
      <c r="A128" s="540"/>
      <c r="B128" s="422" t="s">
        <v>872</v>
      </c>
      <c r="C128" s="599"/>
      <c r="D128" s="595"/>
      <c r="E128" s="597"/>
      <c r="F128" s="603"/>
      <c r="G128" s="412">
        <v>0.04969</v>
      </c>
      <c r="H128" s="426">
        <v>20950</v>
      </c>
      <c r="I128" s="426">
        <v>16090</v>
      </c>
      <c r="J128" s="426">
        <v>15375</v>
      </c>
      <c r="K128" s="426">
        <v>12585</v>
      </c>
      <c r="L128" s="426">
        <v>11390</v>
      </c>
      <c r="M128" s="426">
        <v>10885</v>
      </c>
      <c r="N128" s="426">
        <v>10415</v>
      </c>
      <c r="O128" s="426">
        <v>9945</v>
      </c>
      <c r="P128" s="426">
        <v>9495</v>
      </c>
      <c r="Q128" s="426">
        <v>9000</v>
      </c>
      <c r="R128" s="426">
        <v>8530</v>
      </c>
      <c r="S128" s="426">
        <v>8060</v>
      </c>
      <c r="T128" s="426">
        <v>7605</v>
      </c>
      <c r="U128" s="426">
        <v>7115</v>
      </c>
      <c r="V128" s="426">
        <v>6645</v>
      </c>
      <c r="W128" s="426">
        <v>43570</v>
      </c>
      <c r="X128" s="339">
        <f t="shared" si="2"/>
        <v>207655</v>
      </c>
      <c r="Y128" s="420"/>
    </row>
    <row r="129" spans="1:25" s="419" customFormat="1" ht="20.25" customHeight="1">
      <c r="A129" s="539">
        <v>61</v>
      </c>
      <c r="B129" s="347" t="s">
        <v>741</v>
      </c>
      <c r="C129" s="598" t="s">
        <v>871</v>
      </c>
      <c r="D129" s="594">
        <v>696</v>
      </c>
      <c r="E129" s="596">
        <f>800107-7133.93</f>
        <v>792973.07</v>
      </c>
      <c r="F129" s="602" t="s">
        <v>870</v>
      </c>
      <c r="G129" s="417" t="s">
        <v>734</v>
      </c>
      <c r="H129" s="427"/>
      <c r="I129" s="428">
        <v>1277</v>
      </c>
      <c r="J129" s="428">
        <v>4000</v>
      </c>
      <c r="K129" s="428">
        <v>51048</v>
      </c>
      <c r="L129" s="428">
        <v>51048</v>
      </c>
      <c r="M129" s="428">
        <v>51048</v>
      </c>
      <c r="N129" s="428">
        <v>51048</v>
      </c>
      <c r="O129" s="428">
        <v>51048</v>
      </c>
      <c r="P129" s="428">
        <v>51048</v>
      </c>
      <c r="Q129" s="428">
        <v>51048</v>
      </c>
      <c r="R129" s="428">
        <v>51048</v>
      </c>
      <c r="S129" s="428">
        <v>51048</v>
      </c>
      <c r="T129" s="428">
        <v>51048</v>
      </c>
      <c r="U129" s="428">
        <v>51048</v>
      </c>
      <c r="V129" s="427">
        <v>51048</v>
      </c>
      <c r="W129" s="427">
        <v>165852.17</v>
      </c>
      <c r="X129" s="344">
        <f t="shared" si="2"/>
        <v>783705.17</v>
      </c>
      <c r="Y129" s="420"/>
    </row>
    <row r="130" spans="1:25" s="419" customFormat="1" ht="20.25" customHeight="1">
      <c r="A130" s="540"/>
      <c r="B130" s="422" t="s">
        <v>869</v>
      </c>
      <c r="C130" s="599"/>
      <c r="D130" s="595"/>
      <c r="E130" s="597"/>
      <c r="F130" s="603"/>
      <c r="G130" s="412">
        <v>0.04789</v>
      </c>
      <c r="H130" s="426">
        <v>37685</v>
      </c>
      <c r="I130" s="426">
        <v>36545</v>
      </c>
      <c r="J130" s="426">
        <v>35670</v>
      </c>
      <c r="K130" s="426">
        <v>33115</v>
      </c>
      <c r="L130" s="426">
        <v>29265</v>
      </c>
      <c r="M130" s="426">
        <v>27110</v>
      </c>
      <c r="N130" s="426">
        <v>25040</v>
      </c>
      <c r="O130" s="426">
        <v>22970</v>
      </c>
      <c r="P130" s="426">
        <v>20960</v>
      </c>
      <c r="Q130" s="426">
        <v>18830</v>
      </c>
      <c r="R130" s="426">
        <v>16760</v>
      </c>
      <c r="S130" s="426">
        <v>14690</v>
      </c>
      <c r="T130" s="426">
        <v>12655</v>
      </c>
      <c r="U130" s="426">
        <v>10550</v>
      </c>
      <c r="V130" s="426">
        <v>8580</v>
      </c>
      <c r="W130" s="426">
        <v>13380</v>
      </c>
      <c r="X130" s="339">
        <f t="shared" si="2"/>
        <v>363805</v>
      </c>
      <c r="Y130" s="420"/>
    </row>
    <row r="131" spans="1:25" s="419" customFormat="1" ht="20.25" customHeight="1">
      <c r="A131" s="539">
        <v>62</v>
      </c>
      <c r="B131" s="347" t="s">
        <v>741</v>
      </c>
      <c r="C131" s="598" t="s">
        <v>868</v>
      </c>
      <c r="D131" s="594">
        <v>697</v>
      </c>
      <c r="E131" s="596">
        <f>727379-1545.06</f>
        <v>725833.94</v>
      </c>
      <c r="F131" s="602" t="s">
        <v>867</v>
      </c>
      <c r="G131" s="417" t="s">
        <v>734</v>
      </c>
      <c r="H131" s="427"/>
      <c r="I131" s="428">
        <v>1250</v>
      </c>
      <c r="J131" s="428">
        <v>4000</v>
      </c>
      <c r="K131" s="428">
        <v>28540</v>
      </c>
      <c r="L131" s="428">
        <v>28540</v>
      </c>
      <c r="M131" s="428">
        <v>28540</v>
      </c>
      <c r="N131" s="428">
        <v>28540</v>
      </c>
      <c r="O131" s="428">
        <v>28540</v>
      </c>
      <c r="P131" s="428">
        <v>28540</v>
      </c>
      <c r="Q131" s="428">
        <v>28540</v>
      </c>
      <c r="R131" s="428">
        <v>28540</v>
      </c>
      <c r="S131" s="428">
        <v>28540</v>
      </c>
      <c r="T131" s="428">
        <v>28540</v>
      </c>
      <c r="U131" s="428">
        <v>28540</v>
      </c>
      <c r="V131" s="428">
        <v>28540</v>
      </c>
      <c r="W131" s="428">
        <v>378103.94</v>
      </c>
      <c r="X131" s="344">
        <f t="shared" si="2"/>
        <v>725833.94</v>
      </c>
      <c r="Y131" s="420"/>
    </row>
    <row r="132" spans="1:25" s="419" customFormat="1" ht="20.25" customHeight="1">
      <c r="A132" s="540"/>
      <c r="B132" s="422" t="s">
        <v>866</v>
      </c>
      <c r="C132" s="599"/>
      <c r="D132" s="595"/>
      <c r="E132" s="597"/>
      <c r="F132" s="604"/>
      <c r="G132" s="412">
        <v>0.05144</v>
      </c>
      <c r="H132" s="426">
        <v>37800</v>
      </c>
      <c r="I132" s="426">
        <v>37160</v>
      </c>
      <c r="J132" s="426">
        <v>36700</v>
      </c>
      <c r="K132" s="426">
        <v>32635</v>
      </c>
      <c r="L132" s="426">
        <v>27965</v>
      </c>
      <c r="M132" s="426">
        <v>26735</v>
      </c>
      <c r="N132" s="426">
        <v>25575</v>
      </c>
      <c r="O132" s="426">
        <v>24420</v>
      </c>
      <c r="P132" s="426">
        <v>23325</v>
      </c>
      <c r="Q132" s="426">
        <v>22105</v>
      </c>
      <c r="R132" s="426">
        <v>20945</v>
      </c>
      <c r="S132" s="426">
        <v>19790</v>
      </c>
      <c r="T132" s="426">
        <v>18680</v>
      </c>
      <c r="U132" s="426">
        <v>17475</v>
      </c>
      <c r="V132" s="426">
        <v>16315</v>
      </c>
      <c r="W132" s="426">
        <v>107025</v>
      </c>
      <c r="X132" s="339">
        <f t="shared" si="2"/>
        <v>494650</v>
      </c>
      <c r="Y132" s="420"/>
    </row>
    <row r="133" spans="1:25" s="419" customFormat="1" ht="20.25" customHeight="1">
      <c r="A133" s="539">
        <v>63</v>
      </c>
      <c r="B133" s="347" t="s">
        <v>741</v>
      </c>
      <c r="C133" s="598" t="s">
        <v>865</v>
      </c>
      <c r="D133" s="594">
        <v>698</v>
      </c>
      <c r="E133" s="596">
        <v>49567</v>
      </c>
      <c r="F133" s="602" t="s">
        <v>864</v>
      </c>
      <c r="G133" s="417" t="s">
        <v>734</v>
      </c>
      <c r="H133" s="428">
        <v>1337</v>
      </c>
      <c r="I133" s="428">
        <v>2756</v>
      </c>
      <c r="J133" s="428">
        <v>2756</v>
      </c>
      <c r="K133" s="428">
        <v>2756</v>
      </c>
      <c r="L133" s="428">
        <v>2756</v>
      </c>
      <c r="M133" s="428">
        <v>2756</v>
      </c>
      <c r="N133" s="428">
        <v>2756</v>
      </c>
      <c r="O133" s="428">
        <v>2756</v>
      </c>
      <c r="P133" s="428">
        <v>2756</v>
      </c>
      <c r="Q133" s="428">
        <v>2756</v>
      </c>
      <c r="R133" s="428">
        <v>2756</v>
      </c>
      <c r="S133" s="428">
        <v>2756</v>
      </c>
      <c r="T133" s="428">
        <v>2756</v>
      </c>
      <c r="U133" s="428">
        <v>2651.87</v>
      </c>
      <c r="V133" s="428"/>
      <c r="W133" s="428"/>
      <c r="X133" s="344">
        <f t="shared" si="2"/>
        <v>37060.87</v>
      </c>
      <c r="Y133" s="420"/>
    </row>
    <row r="134" spans="1:25" s="419" customFormat="1" ht="20.25" customHeight="1">
      <c r="A134" s="540"/>
      <c r="B134" s="422" t="s">
        <v>863</v>
      </c>
      <c r="C134" s="599"/>
      <c r="D134" s="595"/>
      <c r="E134" s="597"/>
      <c r="F134" s="603"/>
      <c r="G134" s="412">
        <v>0.0503</v>
      </c>
      <c r="H134" s="426">
        <v>1910</v>
      </c>
      <c r="I134" s="426">
        <v>1810</v>
      </c>
      <c r="J134" s="426">
        <v>1650</v>
      </c>
      <c r="K134" s="426">
        <v>1365</v>
      </c>
      <c r="L134" s="426">
        <v>1100</v>
      </c>
      <c r="M134" s="426">
        <v>985</v>
      </c>
      <c r="N134" s="426">
        <v>875</v>
      </c>
      <c r="O134" s="426">
        <v>765</v>
      </c>
      <c r="P134" s="426">
        <v>655</v>
      </c>
      <c r="Q134" s="426">
        <v>540</v>
      </c>
      <c r="R134" s="426">
        <v>430</v>
      </c>
      <c r="S134" s="426">
        <v>315</v>
      </c>
      <c r="T134" s="426">
        <v>205</v>
      </c>
      <c r="U134" s="426">
        <v>95</v>
      </c>
      <c r="V134" s="426">
        <v>10</v>
      </c>
      <c r="W134" s="426"/>
      <c r="X134" s="339">
        <f t="shared" si="2"/>
        <v>12710</v>
      </c>
      <c r="Y134" s="420"/>
    </row>
    <row r="135" spans="1:25" s="419" customFormat="1" ht="13.5" customHeight="1">
      <c r="A135" s="539">
        <v>64</v>
      </c>
      <c r="B135" s="347" t="s">
        <v>741</v>
      </c>
      <c r="C135" s="598" t="s">
        <v>809</v>
      </c>
      <c r="D135" s="594">
        <v>699</v>
      </c>
      <c r="E135" s="596">
        <v>2617758</v>
      </c>
      <c r="F135" s="602" t="s">
        <v>862</v>
      </c>
      <c r="G135" s="417" t="s">
        <v>734</v>
      </c>
      <c r="H135" s="427"/>
      <c r="I135" s="428">
        <v>1494</v>
      </c>
      <c r="J135" s="428">
        <v>4000</v>
      </c>
      <c r="K135" s="428">
        <v>103456</v>
      </c>
      <c r="L135" s="428">
        <v>103456</v>
      </c>
      <c r="M135" s="428">
        <v>103456</v>
      </c>
      <c r="N135" s="428">
        <v>103456</v>
      </c>
      <c r="O135" s="428">
        <v>103456</v>
      </c>
      <c r="P135" s="428">
        <v>103456</v>
      </c>
      <c r="Q135" s="428">
        <v>103456</v>
      </c>
      <c r="R135" s="428">
        <v>103456</v>
      </c>
      <c r="S135" s="428">
        <v>103456</v>
      </c>
      <c r="T135" s="428">
        <v>103456</v>
      </c>
      <c r="U135" s="428">
        <v>103456</v>
      </c>
      <c r="V135" s="428">
        <v>103456</v>
      </c>
      <c r="W135" s="428">
        <v>1370792</v>
      </c>
      <c r="X135" s="344">
        <f aca="true" t="shared" si="4" ref="X135:X198">SUM(H135:W135)</f>
        <v>2617758</v>
      </c>
      <c r="Y135" s="420"/>
    </row>
    <row r="136" spans="1:25" s="419" customFormat="1" ht="13.5" customHeight="1">
      <c r="A136" s="540"/>
      <c r="B136" s="422" t="s">
        <v>861</v>
      </c>
      <c r="C136" s="599"/>
      <c r="D136" s="595"/>
      <c r="E136" s="597"/>
      <c r="F136" s="603"/>
      <c r="G136" s="412">
        <v>0.05982</v>
      </c>
      <c r="H136" s="426">
        <v>159335</v>
      </c>
      <c r="I136" s="426">
        <v>145935</v>
      </c>
      <c r="J136" s="426">
        <v>132595</v>
      </c>
      <c r="K136" s="426">
        <v>118275</v>
      </c>
      <c r="L136" s="426">
        <v>101380</v>
      </c>
      <c r="M136" s="426">
        <v>96905</v>
      </c>
      <c r="N136" s="426">
        <v>92710</v>
      </c>
      <c r="O136" s="426">
        <v>88515</v>
      </c>
      <c r="P136" s="426">
        <v>84550</v>
      </c>
      <c r="Q136" s="426">
        <v>80125</v>
      </c>
      <c r="R136" s="426">
        <v>75930</v>
      </c>
      <c r="S136" s="426">
        <v>71730</v>
      </c>
      <c r="T136" s="426">
        <v>67725</v>
      </c>
      <c r="U136" s="426">
        <v>63340</v>
      </c>
      <c r="V136" s="426">
        <v>59145</v>
      </c>
      <c r="W136" s="426">
        <v>388055</v>
      </c>
      <c r="X136" s="339">
        <f t="shared" si="4"/>
        <v>1826250</v>
      </c>
      <c r="Y136" s="420"/>
    </row>
    <row r="137" spans="1:25" s="419" customFormat="1" ht="13.5" customHeight="1">
      <c r="A137" s="539">
        <v>65</v>
      </c>
      <c r="B137" s="347" t="s">
        <v>741</v>
      </c>
      <c r="C137" s="598" t="s">
        <v>860</v>
      </c>
      <c r="D137" s="594">
        <v>700</v>
      </c>
      <c r="E137" s="596">
        <v>31923</v>
      </c>
      <c r="F137" s="602" t="s">
        <v>857</v>
      </c>
      <c r="G137" s="417" t="s">
        <v>734</v>
      </c>
      <c r="H137" s="427"/>
      <c r="I137" s="428">
        <v>1304</v>
      </c>
      <c r="J137" s="428">
        <v>1828</v>
      </c>
      <c r="K137" s="428">
        <v>1828</v>
      </c>
      <c r="L137" s="428">
        <v>1828</v>
      </c>
      <c r="M137" s="428">
        <v>1828</v>
      </c>
      <c r="N137" s="428">
        <v>1828</v>
      </c>
      <c r="O137" s="428">
        <v>1828</v>
      </c>
      <c r="P137" s="428">
        <v>1828</v>
      </c>
      <c r="Q137" s="428">
        <v>1828</v>
      </c>
      <c r="R137" s="428">
        <v>1828</v>
      </c>
      <c r="S137" s="428">
        <v>1828</v>
      </c>
      <c r="T137" s="428">
        <v>1828</v>
      </c>
      <c r="U137" s="428">
        <v>1828</v>
      </c>
      <c r="V137" s="428">
        <v>8683</v>
      </c>
      <c r="W137" s="428"/>
      <c r="X137" s="344">
        <f t="shared" si="4"/>
        <v>31923</v>
      </c>
      <c r="Y137" s="420"/>
    </row>
    <row r="138" spans="1:25" s="419" customFormat="1" ht="13.5" customHeight="1">
      <c r="A138" s="540"/>
      <c r="B138" s="422" t="s">
        <v>859</v>
      </c>
      <c r="C138" s="599"/>
      <c r="D138" s="595"/>
      <c r="E138" s="597"/>
      <c r="F138" s="603"/>
      <c r="G138" s="412">
        <v>0.05916</v>
      </c>
      <c r="H138" s="426">
        <v>1930</v>
      </c>
      <c r="I138" s="426">
        <v>1855</v>
      </c>
      <c r="J138" s="426">
        <v>1465</v>
      </c>
      <c r="K138" s="426">
        <v>1160</v>
      </c>
      <c r="L138" s="426">
        <v>1090</v>
      </c>
      <c r="M138" s="426">
        <v>1010</v>
      </c>
      <c r="N138" s="426">
        <v>935</v>
      </c>
      <c r="O138" s="426">
        <v>860</v>
      </c>
      <c r="P138" s="426">
        <v>790</v>
      </c>
      <c r="Q138" s="426">
        <v>715</v>
      </c>
      <c r="R138" s="426">
        <v>640</v>
      </c>
      <c r="S138" s="426">
        <v>565</v>
      </c>
      <c r="T138" s="426">
        <v>495</v>
      </c>
      <c r="U138" s="426">
        <v>415</v>
      </c>
      <c r="V138" s="426">
        <v>965</v>
      </c>
      <c r="W138" s="426"/>
      <c r="X138" s="339">
        <f t="shared" si="4"/>
        <v>14890</v>
      </c>
      <c r="Y138" s="420"/>
    </row>
    <row r="139" spans="1:25" s="419" customFormat="1" ht="20.25" customHeight="1">
      <c r="A139" s="539">
        <v>66</v>
      </c>
      <c r="B139" s="347" t="s">
        <v>741</v>
      </c>
      <c r="C139" s="598" t="s">
        <v>858</v>
      </c>
      <c r="D139" s="594">
        <v>701</v>
      </c>
      <c r="E139" s="596">
        <v>281777</v>
      </c>
      <c r="F139" s="602" t="s">
        <v>857</v>
      </c>
      <c r="G139" s="417" t="s">
        <v>734</v>
      </c>
      <c r="H139" s="427"/>
      <c r="I139" s="428">
        <v>8149</v>
      </c>
      <c r="J139" s="428">
        <v>16336</v>
      </c>
      <c r="K139" s="428">
        <v>16336</v>
      </c>
      <c r="L139" s="428">
        <v>16336</v>
      </c>
      <c r="M139" s="428">
        <v>16336</v>
      </c>
      <c r="N139" s="428">
        <v>16336</v>
      </c>
      <c r="O139" s="428">
        <v>16336</v>
      </c>
      <c r="P139" s="428">
        <v>16336</v>
      </c>
      <c r="Q139" s="428">
        <v>16336</v>
      </c>
      <c r="R139" s="428">
        <v>16336</v>
      </c>
      <c r="S139" s="428">
        <v>16336</v>
      </c>
      <c r="T139" s="428">
        <v>16336</v>
      </c>
      <c r="U139" s="428">
        <v>16336</v>
      </c>
      <c r="V139" s="428">
        <v>16336</v>
      </c>
      <c r="W139" s="428">
        <v>61260</v>
      </c>
      <c r="X139" s="344">
        <f t="shared" si="4"/>
        <v>281777</v>
      </c>
      <c r="Y139" s="420"/>
    </row>
    <row r="140" spans="1:25" s="419" customFormat="1" ht="20.25" customHeight="1">
      <c r="A140" s="540"/>
      <c r="B140" s="422" t="s">
        <v>856</v>
      </c>
      <c r="C140" s="599"/>
      <c r="D140" s="595"/>
      <c r="E140" s="597"/>
      <c r="F140" s="603"/>
      <c r="G140" s="412">
        <v>0.05916</v>
      </c>
      <c r="H140" s="426">
        <v>16915</v>
      </c>
      <c r="I140" s="426">
        <v>16420</v>
      </c>
      <c r="J140" s="426">
        <v>13070</v>
      </c>
      <c r="K140" s="426">
        <v>10335</v>
      </c>
      <c r="L140" s="426">
        <v>9700</v>
      </c>
      <c r="M140" s="426">
        <v>9010</v>
      </c>
      <c r="N140" s="426">
        <v>8345</v>
      </c>
      <c r="O140" s="426">
        <v>7685</v>
      </c>
      <c r="P140" s="426">
        <v>7040</v>
      </c>
      <c r="Q140" s="426">
        <v>6360</v>
      </c>
      <c r="R140" s="426">
        <v>5695</v>
      </c>
      <c r="S140" s="426">
        <v>5035</v>
      </c>
      <c r="T140" s="426">
        <v>4385</v>
      </c>
      <c r="U140" s="426">
        <v>3710</v>
      </c>
      <c r="V140" s="426">
        <v>3045</v>
      </c>
      <c r="W140" s="426">
        <v>5560</v>
      </c>
      <c r="X140" s="339">
        <f t="shared" si="4"/>
        <v>132310</v>
      </c>
      <c r="Y140" s="420"/>
    </row>
    <row r="141" spans="1:25" s="419" customFormat="1" ht="13.5" customHeight="1">
      <c r="A141" s="539">
        <v>67</v>
      </c>
      <c r="B141" s="347" t="s">
        <v>741</v>
      </c>
      <c r="C141" s="598" t="s">
        <v>855</v>
      </c>
      <c r="D141" s="594">
        <v>703</v>
      </c>
      <c r="E141" s="592">
        <v>1917761</v>
      </c>
      <c r="F141" s="537" t="s">
        <v>854</v>
      </c>
      <c r="G141" s="417" t="s">
        <v>734</v>
      </c>
      <c r="H141" s="428">
        <v>6000</v>
      </c>
      <c r="I141" s="428">
        <v>10000</v>
      </c>
      <c r="J141" s="428">
        <v>25000</v>
      </c>
      <c r="K141" s="428">
        <v>58716</v>
      </c>
      <c r="L141" s="428">
        <v>89484</v>
      </c>
      <c r="M141" s="428">
        <v>89484</v>
      </c>
      <c r="N141" s="428">
        <v>89484</v>
      </c>
      <c r="O141" s="428">
        <v>89484</v>
      </c>
      <c r="P141" s="428">
        <v>80130</v>
      </c>
      <c r="Q141" s="428">
        <v>70768</v>
      </c>
      <c r="R141" s="428">
        <v>70768</v>
      </c>
      <c r="S141" s="428">
        <v>70768</v>
      </c>
      <c r="T141" s="428">
        <v>70768</v>
      </c>
      <c r="U141" s="428">
        <v>70768</v>
      </c>
      <c r="V141" s="428">
        <v>70768</v>
      </c>
      <c r="W141" s="428">
        <v>955371</v>
      </c>
      <c r="X141" s="344">
        <f t="shared" si="4"/>
        <v>1917761</v>
      </c>
      <c r="Y141" s="420"/>
    </row>
    <row r="142" spans="1:25" s="419" customFormat="1" ht="13.5" customHeight="1">
      <c r="A142" s="540"/>
      <c r="B142" s="422" t="s">
        <v>853</v>
      </c>
      <c r="C142" s="599"/>
      <c r="D142" s="595"/>
      <c r="E142" s="593"/>
      <c r="F142" s="538"/>
      <c r="G142" s="412">
        <v>0.06016</v>
      </c>
      <c r="H142" s="426">
        <v>117165</v>
      </c>
      <c r="I142" s="426">
        <v>113765</v>
      </c>
      <c r="J142" s="426">
        <v>98595</v>
      </c>
      <c r="K142" s="426">
        <v>75685</v>
      </c>
      <c r="L142" s="426">
        <v>73310</v>
      </c>
      <c r="M142" s="426">
        <v>69545</v>
      </c>
      <c r="N142" s="426">
        <v>65915</v>
      </c>
      <c r="O142" s="426">
        <v>62290</v>
      </c>
      <c r="P142" s="426">
        <v>58825</v>
      </c>
      <c r="Q142" s="426">
        <v>55525</v>
      </c>
      <c r="R142" s="426">
        <v>52655</v>
      </c>
      <c r="S142" s="426">
        <v>49785</v>
      </c>
      <c r="T142" s="426">
        <v>47045</v>
      </c>
      <c r="U142" s="426">
        <v>44045</v>
      </c>
      <c r="V142" s="426">
        <v>41175</v>
      </c>
      <c r="W142" s="426">
        <v>275300</v>
      </c>
      <c r="X142" s="339">
        <f t="shared" si="4"/>
        <v>1300625</v>
      </c>
      <c r="Y142" s="420"/>
    </row>
    <row r="143" spans="1:25" s="419" customFormat="1" ht="13.5" customHeight="1">
      <c r="A143" s="539">
        <v>68</v>
      </c>
      <c r="B143" s="347" t="s">
        <v>741</v>
      </c>
      <c r="C143" s="588" t="s">
        <v>852</v>
      </c>
      <c r="D143" s="594">
        <v>704</v>
      </c>
      <c r="E143" s="592">
        <v>233148</v>
      </c>
      <c r="F143" s="537" t="s">
        <v>851</v>
      </c>
      <c r="G143" s="417" t="s">
        <v>734</v>
      </c>
      <c r="H143" s="428">
        <v>0</v>
      </c>
      <c r="I143" s="428">
        <v>5208</v>
      </c>
      <c r="J143" s="428">
        <v>10480</v>
      </c>
      <c r="K143" s="428">
        <v>10480</v>
      </c>
      <c r="L143" s="428">
        <v>10480</v>
      </c>
      <c r="M143" s="428">
        <v>10480</v>
      </c>
      <c r="N143" s="428">
        <v>10480</v>
      </c>
      <c r="O143" s="428">
        <v>10480</v>
      </c>
      <c r="P143" s="428">
        <v>10480</v>
      </c>
      <c r="Q143" s="428">
        <v>10480</v>
      </c>
      <c r="R143" s="428">
        <v>10480</v>
      </c>
      <c r="S143" s="428">
        <v>10480</v>
      </c>
      <c r="T143" s="428">
        <v>10480</v>
      </c>
      <c r="U143" s="428">
        <v>10480</v>
      </c>
      <c r="V143" s="428">
        <v>10480</v>
      </c>
      <c r="W143" s="428">
        <v>91700</v>
      </c>
      <c r="X143" s="344">
        <f t="shared" si="4"/>
        <v>233148</v>
      </c>
      <c r="Y143" s="420"/>
    </row>
    <row r="144" spans="1:25" s="419" customFormat="1" ht="13.5" customHeight="1">
      <c r="A144" s="540"/>
      <c r="B144" s="422" t="s">
        <v>850</v>
      </c>
      <c r="C144" s="589"/>
      <c r="D144" s="595"/>
      <c r="E144" s="593"/>
      <c r="F144" s="538"/>
      <c r="G144" s="412">
        <v>0.0591</v>
      </c>
      <c r="H144" s="426">
        <v>13850</v>
      </c>
      <c r="I144" s="426">
        <v>11820</v>
      </c>
      <c r="J144" s="426">
        <v>11475</v>
      </c>
      <c r="K144" s="426">
        <v>8755</v>
      </c>
      <c r="L144" s="426">
        <v>8355</v>
      </c>
      <c r="M144" s="426">
        <v>7905</v>
      </c>
      <c r="N144" s="426">
        <v>7480</v>
      </c>
      <c r="O144" s="426">
        <v>7055</v>
      </c>
      <c r="P144" s="426">
        <v>6650</v>
      </c>
      <c r="Q144" s="426">
        <v>6205</v>
      </c>
      <c r="R144" s="426">
        <v>5780</v>
      </c>
      <c r="S144" s="426">
        <v>5355</v>
      </c>
      <c r="T144" s="426">
        <v>4945</v>
      </c>
      <c r="U144" s="426">
        <v>4505</v>
      </c>
      <c r="V144" s="426">
        <v>4080</v>
      </c>
      <c r="W144" s="426">
        <v>17595</v>
      </c>
      <c r="X144" s="339">
        <f t="shared" si="4"/>
        <v>131810</v>
      </c>
      <c r="Y144" s="420"/>
    </row>
    <row r="145" spans="1:25" s="419" customFormat="1" ht="20.25" customHeight="1">
      <c r="A145" s="539">
        <v>69</v>
      </c>
      <c r="B145" s="347" t="s">
        <v>741</v>
      </c>
      <c r="C145" s="588" t="s">
        <v>849</v>
      </c>
      <c r="D145" s="594">
        <v>705</v>
      </c>
      <c r="E145" s="592">
        <v>61747</v>
      </c>
      <c r="F145" s="537" t="s">
        <v>842</v>
      </c>
      <c r="G145" s="417" t="s">
        <v>734</v>
      </c>
      <c r="H145" s="428">
        <v>7032</v>
      </c>
      <c r="I145" s="428">
        <v>7060</v>
      </c>
      <c r="J145" s="428">
        <v>7060</v>
      </c>
      <c r="K145" s="428">
        <v>7060</v>
      </c>
      <c r="L145" s="428">
        <v>7060</v>
      </c>
      <c r="M145" s="428">
        <v>7060</v>
      </c>
      <c r="N145" s="428">
        <v>7060</v>
      </c>
      <c r="O145" s="428">
        <v>7060</v>
      </c>
      <c r="P145" s="428">
        <v>5295</v>
      </c>
      <c r="Q145" s="428"/>
      <c r="R145" s="428"/>
      <c r="S145" s="428"/>
      <c r="T145" s="428"/>
      <c r="U145" s="428"/>
      <c r="V145" s="428"/>
      <c r="W145" s="428"/>
      <c r="X145" s="344">
        <f t="shared" si="4"/>
        <v>61747</v>
      </c>
      <c r="Y145" s="420"/>
    </row>
    <row r="146" spans="1:25" s="419" customFormat="1" ht="20.25" customHeight="1">
      <c r="A146" s="540"/>
      <c r="B146" s="422" t="s">
        <v>848</v>
      </c>
      <c r="C146" s="589"/>
      <c r="D146" s="595"/>
      <c r="E146" s="593"/>
      <c r="F146" s="538"/>
      <c r="G146" s="412">
        <v>0.0531</v>
      </c>
      <c r="H146" s="426">
        <v>3215</v>
      </c>
      <c r="I146" s="426">
        <v>2720</v>
      </c>
      <c r="J146" s="426">
        <v>2365</v>
      </c>
      <c r="K146" s="426">
        <v>1605</v>
      </c>
      <c r="L146" s="426">
        <v>1320</v>
      </c>
      <c r="M146" s="426">
        <v>1030</v>
      </c>
      <c r="N146" s="426">
        <v>745</v>
      </c>
      <c r="O146" s="426">
        <v>460</v>
      </c>
      <c r="P146" s="426">
        <v>175</v>
      </c>
      <c r="Q146" s="426"/>
      <c r="R146" s="426"/>
      <c r="S146" s="426"/>
      <c r="T146" s="426"/>
      <c r="U146" s="426"/>
      <c r="V146" s="426"/>
      <c r="W146" s="426"/>
      <c r="X146" s="339">
        <f t="shared" si="4"/>
        <v>13635</v>
      </c>
      <c r="Y146" s="420"/>
    </row>
    <row r="147" spans="1:25" s="419" customFormat="1" ht="20.25" customHeight="1">
      <c r="A147" s="539">
        <v>70</v>
      </c>
      <c r="B147" s="347" t="s">
        <v>741</v>
      </c>
      <c r="C147" s="588" t="s">
        <v>847</v>
      </c>
      <c r="D147" s="594">
        <v>706</v>
      </c>
      <c r="E147" s="592">
        <v>86370</v>
      </c>
      <c r="F147" s="537" t="s">
        <v>842</v>
      </c>
      <c r="G147" s="417" t="s">
        <v>734</v>
      </c>
      <c r="H147" s="428">
        <v>9862</v>
      </c>
      <c r="I147" s="428">
        <v>9872</v>
      </c>
      <c r="J147" s="428">
        <v>9872</v>
      </c>
      <c r="K147" s="428">
        <v>9872</v>
      </c>
      <c r="L147" s="428">
        <v>9872</v>
      </c>
      <c r="M147" s="428">
        <v>9872</v>
      </c>
      <c r="N147" s="428">
        <v>9872</v>
      </c>
      <c r="O147" s="428">
        <v>9872</v>
      </c>
      <c r="P147" s="428">
        <v>7404</v>
      </c>
      <c r="Q147" s="428"/>
      <c r="R147" s="428"/>
      <c r="S147" s="428"/>
      <c r="T147" s="428"/>
      <c r="U147" s="428"/>
      <c r="V147" s="428"/>
      <c r="W147" s="428"/>
      <c r="X147" s="344">
        <f t="shared" si="4"/>
        <v>86370</v>
      </c>
      <c r="Y147" s="420"/>
    </row>
    <row r="148" spans="1:25" s="419" customFormat="1" ht="20.25" customHeight="1">
      <c r="A148" s="540"/>
      <c r="B148" s="422" t="s">
        <v>846</v>
      </c>
      <c r="C148" s="589"/>
      <c r="D148" s="595"/>
      <c r="E148" s="593"/>
      <c r="F148" s="538"/>
      <c r="G148" s="412">
        <v>0.0531</v>
      </c>
      <c r="H148" s="426">
        <v>4495</v>
      </c>
      <c r="I148" s="426">
        <v>3805</v>
      </c>
      <c r="J148" s="426">
        <v>3305</v>
      </c>
      <c r="K148" s="426">
        <v>2245</v>
      </c>
      <c r="L148" s="426">
        <v>1850</v>
      </c>
      <c r="M148" s="426">
        <v>1440</v>
      </c>
      <c r="N148" s="426">
        <v>1040</v>
      </c>
      <c r="O148" s="426">
        <v>640</v>
      </c>
      <c r="P148" s="426">
        <v>240</v>
      </c>
      <c r="Q148" s="426"/>
      <c r="R148" s="426"/>
      <c r="S148" s="426"/>
      <c r="T148" s="426"/>
      <c r="U148" s="426"/>
      <c r="V148" s="426"/>
      <c r="W148" s="426"/>
      <c r="X148" s="339">
        <f t="shared" si="4"/>
        <v>19060</v>
      </c>
      <c r="Y148" s="420"/>
    </row>
    <row r="149" spans="1:25" s="419" customFormat="1" ht="20.25" customHeight="1">
      <c r="A149" s="539">
        <v>71</v>
      </c>
      <c r="B149" s="347" t="s">
        <v>741</v>
      </c>
      <c r="C149" s="588" t="s">
        <v>845</v>
      </c>
      <c r="D149" s="594">
        <v>707</v>
      </c>
      <c r="E149" s="592">
        <v>59840</v>
      </c>
      <c r="F149" s="537" t="s">
        <v>842</v>
      </c>
      <c r="G149" s="417" t="s">
        <v>734</v>
      </c>
      <c r="H149" s="428">
        <v>6830</v>
      </c>
      <c r="I149" s="428">
        <v>6840</v>
      </c>
      <c r="J149" s="428">
        <v>6840</v>
      </c>
      <c r="K149" s="428">
        <v>6840</v>
      </c>
      <c r="L149" s="428">
        <v>6840</v>
      </c>
      <c r="M149" s="428">
        <v>6840</v>
      </c>
      <c r="N149" s="428">
        <v>6840</v>
      </c>
      <c r="O149" s="428">
        <v>6840</v>
      </c>
      <c r="P149" s="428">
        <v>5130</v>
      </c>
      <c r="Q149" s="428"/>
      <c r="R149" s="428"/>
      <c r="S149" s="428"/>
      <c r="T149" s="428"/>
      <c r="U149" s="428"/>
      <c r="V149" s="428"/>
      <c r="W149" s="428"/>
      <c r="X149" s="344">
        <f t="shared" si="4"/>
        <v>59840</v>
      </c>
      <c r="Y149" s="420"/>
    </row>
    <row r="150" spans="1:25" s="419" customFormat="1" ht="20.25" customHeight="1">
      <c r="A150" s="540"/>
      <c r="B150" s="422" t="s">
        <v>844</v>
      </c>
      <c r="C150" s="589"/>
      <c r="D150" s="595"/>
      <c r="E150" s="593"/>
      <c r="F150" s="538"/>
      <c r="G150" s="412">
        <v>0.0531</v>
      </c>
      <c r="H150" s="426">
        <v>3115</v>
      </c>
      <c r="I150" s="426">
        <v>2635</v>
      </c>
      <c r="J150" s="426">
        <v>2290</v>
      </c>
      <c r="K150" s="426">
        <v>1555</v>
      </c>
      <c r="L150" s="426">
        <v>1280</v>
      </c>
      <c r="M150" s="426">
        <v>1000</v>
      </c>
      <c r="N150" s="426">
        <v>725</v>
      </c>
      <c r="O150" s="426">
        <v>445</v>
      </c>
      <c r="P150" s="426">
        <v>170</v>
      </c>
      <c r="Q150" s="426"/>
      <c r="R150" s="426"/>
      <c r="S150" s="426"/>
      <c r="T150" s="426"/>
      <c r="U150" s="426"/>
      <c r="V150" s="426"/>
      <c r="W150" s="426"/>
      <c r="X150" s="339">
        <f t="shared" si="4"/>
        <v>13215</v>
      </c>
      <c r="Y150" s="420"/>
    </row>
    <row r="151" spans="1:25" s="419" customFormat="1" ht="20.25" customHeight="1">
      <c r="A151" s="539">
        <v>72</v>
      </c>
      <c r="B151" s="347" t="s">
        <v>741</v>
      </c>
      <c r="C151" s="588" t="s">
        <v>843</v>
      </c>
      <c r="D151" s="594">
        <v>708</v>
      </c>
      <c r="E151" s="592">
        <v>94375</v>
      </c>
      <c r="F151" s="537" t="s">
        <v>842</v>
      </c>
      <c r="G151" s="417" t="s">
        <v>734</v>
      </c>
      <c r="H151" s="427">
        <v>10768</v>
      </c>
      <c r="I151" s="427">
        <v>10788</v>
      </c>
      <c r="J151" s="427">
        <v>10788</v>
      </c>
      <c r="K151" s="427">
        <v>10788</v>
      </c>
      <c r="L151" s="427">
        <v>10788</v>
      </c>
      <c r="M151" s="427">
        <v>10788</v>
      </c>
      <c r="N151" s="427">
        <v>10788</v>
      </c>
      <c r="O151" s="427">
        <v>10788</v>
      </c>
      <c r="P151" s="427">
        <v>8091</v>
      </c>
      <c r="Q151" s="428"/>
      <c r="R151" s="428"/>
      <c r="S151" s="428"/>
      <c r="T151" s="428"/>
      <c r="U151" s="428"/>
      <c r="V151" s="428"/>
      <c r="W151" s="428"/>
      <c r="X151" s="344">
        <f t="shared" si="4"/>
        <v>94375</v>
      </c>
      <c r="Y151" s="420"/>
    </row>
    <row r="152" spans="1:25" s="419" customFormat="1" ht="20.25" customHeight="1">
      <c r="A152" s="540"/>
      <c r="B152" s="422" t="s">
        <v>841</v>
      </c>
      <c r="C152" s="589"/>
      <c r="D152" s="595"/>
      <c r="E152" s="593"/>
      <c r="F152" s="538"/>
      <c r="G152" s="412">
        <v>0.0531</v>
      </c>
      <c r="H152" s="426">
        <v>4910</v>
      </c>
      <c r="I152" s="426">
        <v>4155</v>
      </c>
      <c r="J152" s="426">
        <v>3610</v>
      </c>
      <c r="K152" s="426">
        <v>2450</v>
      </c>
      <c r="L152" s="426">
        <v>2020</v>
      </c>
      <c r="M152" s="426">
        <v>1575</v>
      </c>
      <c r="N152" s="426">
        <v>1140</v>
      </c>
      <c r="O152" s="426">
        <v>700</v>
      </c>
      <c r="P152" s="426">
        <v>265</v>
      </c>
      <c r="Q152" s="426"/>
      <c r="R152" s="426"/>
      <c r="S152" s="426"/>
      <c r="T152" s="426"/>
      <c r="U152" s="426"/>
      <c r="V152" s="426"/>
      <c r="W152" s="426"/>
      <c r="X152" s="339">
        <f t="shared" si="4"/>
        <v>20825</v>
      </c>
      <c r="Y152" s="420"/>
    </row>
    <row r="153" spans="1:25" s="419" customFormat="1" ht="20.25" customHeight="1">
      <c r="A153" s="539">
        <v>73</v>
      </c>
      <c r="B153" s="347" t="s">
        <v>741</v>
      </c>
      <c r="C153" s="588" t="s">
        <v>824</v>
      </c>
      <c r="D153" s="590">
        <v>710</v>
      </c>
      <c r="E153" s="592">
        <v>680163</v>
      </c>
      <c r="F153" s="537" t="s">
        <v>840</v>
      </c>
      <c r="G153" s="417" t="s">
        <v>734</v>
      </c>
      <c r="H153" s="428">
        <v>11859</v>
      </c>
      <c r="I153" s="428">
        <v>23868</v>
      </c>
      <c r="J153" s="428">
        <v>23868</v>
      </c>
      <c r="K153" s="428">
        <v>23868</v>
      </c>
      <c r="L153" s="428">
        <v>23868</v>
      </c>
      <c r="M153" s="428">
        <v>23868</v>
      </c>
      <c r="N153" s="428">
        <v>23868</v>
      </c>
      <c r="O153" s="428">
        <v>23868</v>
      </c>
      <c r="P153" s="428">
        <v>23868</v>
      </c>
      <c r="Q153" s="428">
        <v>23868</v>
      </c>
      <c r="R153" s="428">
        <v>23868</v>
      </c>
      <c r="S153" s="428">
        <v>23868</v>
      </c>
      <c r="T153" s="428">
        <v>23868</v>
      </c>
      <c r="U153" s="428">
        <v>23868</v>
      </c>
      <c r="V153" s="428">
        <v>23868</v>
      </c>
      <c r="W153" s="428">
        <v>334152</v>
      </c>
      <c r="X153" s="344">
        <f t="shared" si="4"/>
        <v>680163</v>
      </c>
      <c r="Y153" s="420"/>
    </row>
    <row r="154" spans="1:25" s="419" customFormat="1" ht="20.25" customHeight="1">
      <c r="A154" s="540"/>
      <c r="B154" s="422" t="s">
        <v>839</v>
      </c>
      <c r="C154" s="589"/>
      <c r="D154" s="591"/>
      <c r="E154" s="593"/>
      <c r="F154" s="538"/>
      <c r="G154" s="412">
        <v>0.06352</v>
      </c>
      <c r="H154" s="426">
        <v>42665</v>
      </c>
      <c r="I154" s="426">
        <v>40435</v>
      </c>
      <c r="J154" s="426">
        <v>32485</v>
      </c>
      <c r="K154" s="426">
        <v>25020</v>
      </c>
      <c r="L154" s="426">
        <v>24120</v>
      </c>
      <c r="M154" s="426">
        <v>23085</v>
      </c>
      <c r="N154" s="426">
        <v>22115</v>
      </c>
      <c r="O154" s="426">
        <v>21150</v>
      </c>
      <c r="P154" s="426">
        <v>20235</v>
      </c>
      <c r="Q154" s="426">
        <v>19215</v>
      </c>
      <c r="R154" s="426">
        <v>18245</v>
      </c>
      <c r="S154" s="426">
        <v>17275</v>
      </c>
      <c r="T154" s="426">
        <v>16355</v>
      </c>
      <c r="U154" s="426">
        <v>15340</v>
      </c>
      <c r="V154" s="426">
        <v>14375</v>
      </c>
      <c r="W154" s="426">
        <v>99625</v>
      </c>
      <c r="X154" s="339">
        <f t="shared" si="4"/>
        <v>451740</v>
      </c>
      <c r="Y154" s="420"/>
    </row>
    <row r="155" spans="1:25" s="419" customFormat="1" ht="13.5" customHeight="1">
      <c r="A155" s="539">
        <v>74</v>
      </c>
      <c r="B155" s="347" t="s">
        <v>741</v>
      </c>
      <c r="C155" s="588" t="s">
        <v>821</v>
      </c>
      <c r="D155" s="590">
        <v>711</v>
      </c>
      <c r="E155" s="592">
        <v>1581646</v>
      </c>
      <c r="F155" s="537" t="s">
        <v>838</v>
      </c>
      <c r="G155" s="417" t="s">
        <v>734</v>
      </c>
      <c r="H155" s="428">
        <v>114788</v>
      </c>
      <c r="I155" s="428">
        <v>153112</v>
      </c>
      <c r="J155" s="428">
        <v>153112</v>
      </c>
      <c r="K155" s="428">
        <v>153112</v>
      </c>
      <c r="L155" s="428">
        <v>93802</v>
      </c>
      <c r="M155" s="428">
        <v>74032</v>
      </c>
      <c r="N155" s="428">
        <v>74032</v>
      </c>
      <c r="O155" s="428">
        <v>74032</v>
      </c>
      <c r="P155" s="428">
        <v>74032</v>
      </c>
      <c r="Q155" s="428">
        <v>40975</v>
      </c>
      <c r="R155" s="428">
        <v>29956</v>
      </c>
      <c r="S155" s="428">
        <v>29956</v>
      </c>
      <c r="T155" s="428">
        <v>29956</v>
      </c>
      <c r="U155" s="428">
        <v>29956</v>
      </c>
      <c r="V155" s="428">
        <v>29956</v>
      </c>
      <c r="W155" s="428">
        <v>426837</v>
      </c>
      <c r="X155" s="344">
        <f t="shared" si="4"/>
        <v>1581646</v>
      </c>
      <c r="Y155" s="420"/>
    </row>
    <row r="156" spans="1:25" s="419" customFormat="1" ht="13.5" customHeight="1">
      <c r="A156" s="540"/>
      <c r="B156" s="422" t="s">
        <v>837</v>
      </c>
      <c r="C156" s="589"/>
      <c r="D156" s="591"/>
      <c r="E156" s="593"/>
      <c r="F156" s="538"/>
      <c r="G156" s="412">
        <v>0.05486</v>
      </c>
      <c r="H156" s="426">
        <v>88925</v>
      </c>
      <c r="I156" s="426">
        <v>80870</v>
      </c>
      <c r="J156" s="426">
        <v>67130</v>
      </c>
      <c r="K156" s="426">
        <v>49170</v>
      </c>
      <c r="L156" s="426">
        <v>40265</v>
      </c>
      <c r="M156" s="426">
        <v>36595</v>
      </c>
      <c r="N156" s="426">
        <v>33595</v>
      </c>
      <c r="O156" s="426">
        <v>30590</v>
      </c>
      <c r="P156" s="426">
        <v>27665</v>
      </c>
      <c r="Q156" s="426">
        <v>24725</v>
      </c>
      <c r="R156" s="426">
        <v>23200</v>
      </c>
      <c r="S156" s="426">
        <v>21985</v>
      </c>
      <c r="T156" s="426">
        <v>20830</v>
      </c>
      <c r="U156" s="426">
        <v>19555</v>
      </c>
      <c r="V156" s="426">
        <v>18340</v>
      </c>
      <c r="W156" s="426">
        <v>129480</v>
      </c>
      <c r="X156" s="339">
        <f t="shared" si="4"/>
        <v>712920</v>
      </c>
      <c r="Y156" s="420"/>
    </row>
    <row r="157" spans="1:25" s="419" customFormat="1" ht="19.5" customHeight="1">
      <c r="A157" s="539">
        <v>75</v>
      </c>
      <c r="B157" s="347" t="s">
        <v>741</v>
      </c>
      <c r="C157" s="588" t="s">
        <v>836</v>
      </c>
      <c r="D157" s="590">
        <v>712</v>
      </c>
      <c r="E157" s="592">
        <v>134941.01</v>
      </c>
      <c r="F157" s="537" t="s">
        <v>835</v>
      </c>
      <c r="G157" s="417" t="s">
        <v>734</v>
      </c>
      <c r="H157" s="428">
        <v>14080</v>
      </c>
      <c r="I157" s="428">
        <v>14080</v>
      </c>
      <c r="J157" s="428">
        <v>14080</v>
      </c>
      <c r="K157" s="428">
        <v>14080</v>
      </c>
      <c r="L157" s="428">
        <v>14080</v>
      </c>
      <c r="M157" s="428">
        <v>14080</v>
      </c>
      <c r="N157" s="428">
        <v>14080</v>
      </c>
      <c r="O157" s="428">
        <v>14080</v>
      </c>
      <c r="P157" s="428">
        <v>14080</v>
      </c>
      <c r="Q157" s="428">
        <v>3512.92</v>
      </c>
      <c r="R157" s="428"/>
      <c r="S157" s="428"/>
      <c r="T157" s="428"/>
      <c r="U157" s="428"/>
      <c r="V157" s="428"/>
      <c r="W157" s="428"/>
      <c r="X157" s="344">
        <f t="shared" si="4"/>
        <v>130232.92</v>
      </c>
      <c r="Y157" s="420"/>
    </row>
    <row r="158" spans="1:25" s="419" customFormat="1" ht="19.5" customHeight="1">
      <c r="A158" s="540"/>
      <c r="B158" s="422" t="s">
        <v>834</v>
      </c>
      <c r="C158" s="589"/>
      <c r="D158" s="591"/>
      <c r="E158" s="593"/>
      <c r="F158" s="538"/>
      <c r="G158" s="412">
        <v>0.04988</v>
      </c>
      <c r="H158" s="426">
        <v>6465</v>
      </c>
      <c r="I158" s="426">
        <v>5500</v>
      </c>
      <c r="J158" s="426">
        <v>4560</v>
      </c>
      <c r="K158" s="426">
        <v>3710</v>
      </c>
      <c r="L158" s="426">
        <v>2920</v>
      </c>
      <c r="M158" s="426">
        <v>2340</v>
      </c>
      <c r="N158" s="426">
        <v>1770</v>
      </c>
      <c r="O158" s="426">
        <v>1200</v>
      </c>
      <c r="P158" s="426">
        <v>630</v>
      </c>
      <c r="Q158" s="426">
        <v>100</v>
      </c>
      <c r="R158" s="426"/>
      <c r="S158" s="426"/>
      <c r="T158" s="426"/>
      <c r="U158" s="426"/>
      <c r="V158" s="426"/>
      <c r="W158" s="426"/>
      <c r="X158" s="339">
        <f t="shared" si="4"/>
        <v>29195</v>
      </c>
      <c r="Y158" s="420"/>
    </row>
    <row r="159" spans="1:25" s="419" customFormat="1" ht="19.5" customHeight="1">
      <c r="A159" s="539">
        <v>76</v>
      </c>
      <c r="B159" s="347" t="s">
        <v>741</v>
      </c>
      <c r="C159" s="588" t="s">
        <v>833</v>
      </c>
      <c r="D159" s="590">
        <v>713</v>
      </c>
      <c r="E159" s="592">
        <v>26000</v>
      </c>
      <c r="F159" s="537" t="s">
        <v>832</v>
      </c>
      <c r="G159" s="417" t="s">
        <v>734</v>
      </c>
      <c r="H159" s="428"/>
      <c r="I159" s="428"/>
      <c r="J159" s="428"/>
      <c r="K159" s="428"/>
      <c r="L159" s="428"/>
      <c r="M159" s="428"/>
      <c r="N159" s="428"/>
      <c r="O159" s="428"/>
      <c r="P159" s="428"/>
      <c r="Q159" s="428"/>
      <c r="R159" s="428"/>
      <c r="S159" s="428"/>
      <c r="T159" s="428"/>
      <c r="U159" s="428"/>
      <c r="V159" s="428"/>
      <c r="W159" s="428"/>
      <c r="X159" s="344">
        <f t="shared" si="4"/>
        <v>0</v>
      </c>
      <c r="Y159" s="420"/>
    </row>
    <row r="160" spans="1:25" s="419" customFormat="1" ht="19.5" customHeight="1">
      <c r="A160" s="540"/>
      <c r="B160" s="422" t="s">
        <v>831</v>
      </c>
      <c r="C160" s="589"/>
      <c r="D160" s="591"/>
      <c r="E160" s="593"/>
      <c r="F160" s="538"/>
      <c r="G160" s="412">
        <v>0.04571</v>
      </c>
      <c r="H160" s="426">
        <v>270</v>
      </c>
      <c r="I160" s="426"/>
      <c r="J160" s="426"/>
      <c r="K160" s="426"/>
      <c r="L160" s="426"/>
      <c r="M160" s="426"/>
      <c r="N160" s="426"/>
      <c r="O160" s="426"/>
      <c r="P160" s="426"/>
      <c r="Q160" s="426"/>
      <c r="R160" s="426"/>
      <c r="S160" s="426"/>
      <c r="T160" s="426"/>
      <c r="U160" s="426"/>
      <c r="V160" s="426"/>
      <c r="W160" s="426"/>
      <c r="X160" s="339">
        <f t="shared" si="4"/>
        <v>270</v>
      </c>
      <c r="Y160" s="420"/>
    </row>
    <row r="161" spans="1:25" s="419" customFormat="1" ht="19.5" customHeight="1">
      <c r="A161" s="539">
        <v>77</v>
      </c>
      <c r="B161" s="347" t="s">
        <v>741</v>
      </c>
      <c r="C161" s="588" t="s">
        <v>830</v>
      </c>
      <c r="D161" s="590">
        <v>714</v>
      </c>
      <c r="E161" s="592">
        <f>132405-49291.87</f>
        <v>83113.13</v>
      </c>
      <c r="F161" s="537" t="s">
        <v>829</v>
      </c>
      <c r="G161" s="417" t="s">
        <v>734</v>
      </c>
      <c r="H161" s="428">
        <v>0</v>
      </c>
      <c r="I161" s="428">
        <v>0</v>
      </c>
      <c r="J161" s="428">
        <v>7556</v>
      </c>
      <c r="K161" s="428">
        <v>7556</v>
      </c>
      <c r="L161" s="428">
        <v>7556</v>
      </c>
      <c r="M161" s="428">
        <v>7556</v>
      </c>
      <c r="N161" s="428">
        <v>7556</v>
      </c>
      <c r="O161" s="428">
        <v>7556</v>
      </c>
      <c r="P161" s="428">
        <v>7556</v>
      </c>
      <c r="Q161" s="428">
        <v>7556</v>
      </c>
      <c r="R161" s="428">
        <v>7556</v>
      </c>
      <c r="S161" s="428">
        <v>7556</v>
      </c>
      <c r="T161" s="427">
        <v>7553.13</v>
      </c>
      <c r="U161" s="428"/>
      <c r="V161" s="428"/>
      <c r="W161" s="428"/>
      <c r="X161" s="344">
        <f t="shared" si="4"/>
        <v>83113.13</v>
      </c>
      <c r="Y161" s="420"/>
    </row>
    <row r="162" spans="1:25" s="419" customFormat="1" ht="19.5" customHeight="1">
      <c r="A162" s="540"/>
      <c r="B162" s="422" t="s">
        <v>828</v>
      </c>
      <c r="C162" s="589"/>
      <c r="D162" s="591"/>
      <c r="E162" s="593"/>
      <c r="F162" s="538"/>
      <c r="G162" s="412">
        <v>0.05411</v>
      </c>
      <c r="H162" s="426">
        <v>4655</v>
      </c>
      <c r="I162" s="426">
        <v>4465</v>
      </c>
      <c r="J162" s="426">
        <v>4135</v>
      </c>
      <c r="K162" s="426">
        <v>3405</v>
      </c>
      <c r="L162" s="426">
        <v>2720</v>
      </c>
      <c r="M162" s="426">
        <v>2405</v>
      </c>
      <c r="N162" s="426">
        <v>2100</v>
      </c>
      <c r="O162" s="426">
        <v>1795</v>
      </c>
      <c r="P162" s="426">
        <v>1490</v>
      </c>
      <c r="Q162" s="426">
        <v>1180</v>
      </c>
      <c r="R162" s="426">
        <v>875</v>
      </c>
      <c r="S162" s="426">
        <v>570</v>
      </c>
      <c r="T162" s="426">
        <v>260</v>
      </c>
      <c r="U162" s="426">
        <v>20</v>
      </c>
      <c r="V162" s="426"/>
      <c r="W162" s="426"/>
      <c r="X162" s="339">
        <f t="shared" si="4"/>
        <v>30075</v>
      </c>
      <c r="Y162" s="420"/>
    </row>
    <row r="163" spans="1:25" s="419" customFormat="1" ht="19.5" customHeight="1">
      <c r="A163" s="539">
        <v>78</v>
      </c>
      <c r="B163" s="347" t="s">
        <v>741</v>
      </c>
      <c r="C163" s="588" t="s">
        <v>827</v>
      </c>
      <c r="D163" s="590">
        <v>715</v>
      </c>
      <c r="E163" s="592">
        <v>579626</v>
      </c>
      <c r="F163" s="537" t="s">
        <v>826</v>
      </c>
      <c r="G163" s="417" t="s">
        <v>734</v>
      </c>
      <c r="H163" s="428"/>
      <c r="I163" s="428"/>
      <c r="J163" s="428">
        <v>30148</v>
      </c>
      <c r="K163" s="428">
        <v>30148</v>
      </c>
      <c r="L163" s="428">
        <v>30148</v>
      </c>
      <c r="M163" s="428">
        <v>30148</v>
      </c>
      <c r="N163" s="428">
        <v>30148</v>
      </c>
      <c r="O163" s="428">
        <v>30148</v>
      </c>
      <c r="P163" s="428">
        <v>30148</v>
      </c>
      <c r="Q163" s="428">
        <v>30148</v>
      </c>
      <c r="R163" s="428">
        <v>30148</v>
      </c>
      <c r="S163" s="428">
        <v>30148</v>
      </c>
      <c r="T163" s="428">
        <v>30148</v>
      </c>
      <c r="U163" s="428">
        <v>30148</v>
      </c>
      <c r="V163" s="427">
        <v>30148</v>
      </c>
      <c r="W163" s="427">
        <v>128097.03</v>
      </c>
      <c r="X163" s="344">
        <f t="shared" si="4"/>
        <v>520021.03</v>
      </c>
      <c r="Y163" s="420"/>
    </row>
    <row r="164" spans="1:25" s="419" customFormat="1" ht="19.5" customHeight="1">
      <c r="A164" s="540"/>
      <c r="B164" s="422" t="s">
        <v>825</v>
      </c>
      <c r="C164" s="589"/>
      <c r="D164" s="591"/>
      <c r="E164" s="593"/>
      <c r="F164" s="538"/>
      <c r="G164" s="412">
        <v>0.05411</v>
      </c>
      <c r="H164" s="426">
        <v>29450</v>
      </c>
      <c r="I164" s="426">
        <v>29000</v>
      </c>
      <c r="J164" s="426">
        <v>27360</v>
      </c>
      <c r="K164" s="426">
        <v>22170</v>
      </c>
      <c r="L164" s="426">
        <v>18510</v>
      </c>
      <c r="M164" s="426">
        <v>17235</v>
      </c>
      <c r="N164" s="426">
        <v>16015</v>
      </c>
      <c r="O164" s="426">
        <v>14790</v>
      </c>
      <c r="P164" s="426">
        <v>13605</v>
      </c>
      <c r="Q164" s="426">
        <v>12345</v>
      </c>
      <c r="R164" s="426">
        <v>11120</v>
      </c>
      <c r="S164" s="426">
        <v>9900</v>
      </c>
      <c r="T164" s="426">
        <v>8700</v>
      </c>
      <c r="U164" s="426">
        <v>7455</v>
      </c>
      <c r="V164" s="426">
        <v>6230</v>
      </c>
      <c r="W164" s="426">
        <v>12915</v>
      </c>
      <c r="X164" s="339">
        <f t="shared" si="4"/>
        <v>256800</v>
      </c>
      <c r="Y164" s="420"/>
    </row>
    <row r="165" spans="1:25" s="419" customFormat="1" ht="19.5" customHeight="1">
      <c r="A165" s="539">
        <v>79</v>
      </c>
      <c r="B165" s="347" t="s">
        <v>741</v>
      </c>
      <c r="C165" s="598" t="s">
        <v>824</v>
      </c>
      <c r="D165" s="594">
        <v>716</v>
      </c>
      <c r="E165" s="596">
        <f>259372-5070.27</f>
        <v>254301.73</v>
      </c>
      <c r="F165" s="545" t="s">
        <v>823</v>
      </c>
      <c r="G165" s="417" t="s">
        <v>734</v>
      </c>
      <c r="H165" s="424">
        <v>11164</v>
      </c>
      <c r="I165" s="423">
        <v>22328</v>
      </c>
      <c r="J165" s="423">
        <v>22328</v>
      </c>
      <c r="K165" s="423">
        <v>22328</v>
      </c>
      <c r="L165" s="423">
        <v>22328</v>
      </c>
      <c r="M165" s="423">
        <v>22328</v>
      </c>
      <c r="N165" s="423">
        <v>22328</v>
      </c>
      <c r="O165" s="423">
        <v>22328</v>
      </c>
      <c r="P165" s="423">
        <v>22328</v>
      </c>
      <c r="Q165" s="423">
        <v>11152.01</v>
      </c>
      <c r="R165" s="423"/>
      <c r="S165" s="423"/>
      <c r="T165" s="423"/>
      <c r="U165" s="423"/>
      <c r="V165" s="423"/>
      <c r="W165" s="423"/>
      <c r="X165" s="344">
        <f t="shared" si="4"/>
        <v>200940.01</v>
      </c>
      <c r="Y165" s="420"/>
    </row>
    <row r="166" spans="1:25" s="419" customFormat="1" ht="19.5" customHeight="1">
      <c r="A166" s="540"/>
      <c r="B166" s="422" t="s">
        <v>822</v>
      </c>
      <c r="C166" s="599"/>
      <c r="D166" s="595"/>
      <c r="E166" s="597"/>
      <c r="F166" s="546"/>
      <c r="G166" s="412">
        <v>0.05097</v>
      </c>
      <c r="H166" s="421">
        <v>10785</v>
      </c>
      <c r="I166" s="421">
        <v>9645</v>
      </c>
      <c r="J166" s="421">
        <v>8315</v>
      </c>
      <c r="K166" s="421">
        <v>6495</v>
      </c>
      <c r="L166" s="421">
        <v>4855</v>
      </c>
      <c r="M166" s="421">
        <v>3935</v>
      </c>
      <c r="N166" s="421">
        <v>3030</v>
      </c>
      <c r="O166" s="421">
        <v>2125</v>
      </c>
      <c r="P166" s="421">
        <v>1225</v>
      </c>
      <c r="Q166" s="421">
        <v>320</v>
      </c>
      <c r="R166" s="421"/>
      <c r="S166" s="421"/>
      <c r="T166" s="421"/>
      <c r="U166" s="421"/>
      <c r="V166" s="421"/>
      <c r="W166" s="421"/>
      <c r="X166" s="339">
        <f t="shared" si="4"/>
        <v>50730</v>
      </c>
      <c r="Y166" s="420"/>
    </row>
    <row r="167" spans="1:25" s="419" customFormat="1" ht="13.5" customHeight="1">
      <c r="A167" s="539">
        <v>80</v>
      </c>
      <c r="B167" s="347" t="s">
        <v>741</v>
      </c>
      <c r="C167" s="588" t="s">
        <v>821</v>
      </c>
      <c r="D167" s="590">
        <v>717</v>
      </c>
      <c r="E167" s="592">
        <v>699058.17</v>
      </c>
      <c r="F167" s="537" t="s">
        <v>820</v>
      </c>
      <c r="G167" s="417" t="s">
        <v>734</v>
      </c>
      <c r="H167" s="425">
        <f>4998.09+20000+158764.08</f>
        <v>183762.16999999998</v>
      </c>
      <c r="I167" s="424">
        <v>90740</v>
      </c>
      <c r="J167" s="424">
        <v>90740</v>
      </c>
      <c r="K167" s="424">
        <v>90740</v>
      </c>
      <c r="L167" s="424">
        <v>29270</v>
      </c>
      <c r="M167" s="424">
        <v>8780</v>
      </c>
      <c r="N167" s="424">
        <v>8780</v>
      </c>
      <c r="O167" s="424">
        <v>8780</v>
      </c>
      <c r="P167" s="424">
        <v>8780</v>
      </c>
      <c r="Q167" s="424">
        <v>8780</v>
      </c>
      <c r="R167" s="424">
        <v>8780</v>
      </c>
      <c r="S167" s="424">
        <v>8780</v>
      </c>
      <c r="T167" s="424">
        <v>8780</v>
      </c>
      <c r="U167" s="424">
        <v>8780</v>
      </c>
      <c r="V167" s="423">
        <v>8780</v>
      </c>
      <c r="W167" s="423">
        <v>126006</v>
      </c>
      <c r="X167" s="344">
        <f t="shared" si="4"/>
        <v>699058.1699999999</v>
      </c>
      <c r="Y167" s="420"/>
    </row>
    <row r="168" spans="1:25" s="419" customFormat="1" ht="13.5" customHeight="1">
      <c r="A168" s="540"/>
      <c r="B168" s="422" t="s">
        <v>819</v>
      </c>
      <c r="C168" s="589"/>
      <c r="D168" s="591"/>
      <c r="E168" s="593"/>
      <c r="F168" s="538"/>
      <c r="G168" s="412">
        <v>0.06036</v>
      </c>
      <c r="H168" s="421">
        <v>35460</v>
      </c>
      <c r="I168" s="421">
        <v>29110</v>
      </c>
      <c r="J168" s="421">
        <v>21910</v>
      </c>
      <c r="K168" s="421">
        <v>14705</v>
      </c>
      <c r="L168" s="421">
        <v>9575</v>
      </c>
      <c r="M168" s="421">
        <v>8620</v>
      </c>
      <c r="N168" s="421">
        <v>8265</v>
      </c>
      <c r="O168" s="421">
        <v>7905</v>
      </c>
      <c r="P168" s="421">
        <v>7570</v>
      </c>
      <c r="Q168" s="421">
        <v>7195</v>
      </c>
      <c r="R168" s="421">
        <v>6840</v>
      </c>
      <c r="S168" s="421">
        <v>6480</v>
      </c>
      <c r="T168" s="421">
        <v>6145</v>
      </c>
      <c r="U168" s="421">
        <v>5770</v>
      </c>
      <c r="V168" s="421">
        <v>5415</v>
      </c>
      <c r="W168" s="421">
        <v>38490</v>
      </c>
      <c r="X168" s="339">
        <f t="shared" si="4"/>
        <v>219455</v>
      </c>
      <c r="Y168" s="420"/>
    </row>
    <row r="169" spans="1:25" s="419" customFormat="1" ht="22.5" customHeight="1">
      <c r="A169" s="539">
        <v>81</v>
      </c>
      <c r="B169" s="347" t="s">
        <v>741</v>
      </c>
      <c r="C169" s="588" t="s">
        <v>553</v>
      </c>
      <c r="D169" s="594">
        <v>718</v>
      </c>
      <c r="E169" s="596">
        <v>741015</v>
      </c>
      <c r="F169" s="545" t="s">
        <v>818</v>
      </c>
      <c r="G169" s="417" t="s">
        <v>734</v>
      </c>
      <c r="H169" s="424"/>
      <c r="I169" s="423"/>
      <c r="J169" s="423">
        <v>2000</v>
      </c>
      <c r="K169" s="423">
        <v>37900</v>
      </c>
      <c r="L169" s="423">
        <v>37900</v>
      </c>
      <c r="M169" s="423">
        <v>37900</v>
      </c>
      <c r="N169" s="423">
        <v>37900</v>
      </c>
      <c r="O169" s="423">
        <v>37900</v>
      </c>
      <c r="P169" s="423">
        <v>37900</v>
      </c>
      <c r="Q169" s="423">
        <v>37900</v>
      </c>
      <c r="R169" s="423">
        <v>37900</v>
      </c>
      <c r="S169" s="423">
        <v>37900</v>
      </c>
      <c r="T169" s="423">
        <v>37900</v>
      </c>
      <c r="U169" s="423">
        <v>37900</v>
      </c>
      <c r="V169" s="423">
        <v>37900</v>
      </c>
      <c r="W169" s="423">
        <v>284215</v>
      </c>
      <c r="X169" s="344">
        <f t="shared" si="4"/>
        <v>741015</v>
      </c>
      <c r="Y169" s="420"/>
    </row>
    <row r="170" spans="1:25" s="419" customFormat="1" ht="22.5" customHeight="1">
      <c r="A170" s="540"/>
      <c r="B170" s="422" t="s">
        <v>817</v>
      </c>
      <c r="C170" s="589"/>
      <c r="D170" s="595"/>
      <c r="E170" s="597"/>
      <c r="F170" s="546"/>
      <c r="G170" s="412">
        <v>0.05656</v>
      </c>
      <c r="H170" s="421">
        <v>32115</v>
      </c>
      <c r="I170" s="421">
        <v>41325</v>
      </c>
      <c r="J170" s="421">
        <v>38475</v>
      </c>
      <c r="K170" s="421">
        <v>29660</v>
      </c>
      <c r="L170" s="421">
        <v>28280</v>
      </c>
      <c r="M170" s="421">
        <v>26665</v>
      </c>
      <c r="N170" s="421">
        <v>25125</v>
      </c>
      <c r="O170" s="421">
        <v>23590</v>
      </c>
      <c r="P170" s="421">
        <v>22115</v>
      </c>
      <c r="Q170" s="421">
        <v>20515</v>
      </c>
      <c r="R170" s="421">
        <v>18975</v>
      </c>
      <c r="S170" s="421">
        <v>17440</v>
      </c>
      <c r="T170" s="421">
        <v>15950</v>
      </c>
      <c r="U170" s="421">
        <v>14365</v>
      </c>
      <c r="V170" s="421">
        <v>12830</v>
      </c>
      <c r="W170" s="421">
        <v>47340</v>
      </c>
      <c r="X170" s="339">
        <f t="shared" si="4"/>
        <v>414765</v>
      </c>
      <c r="Y170" s="420"/>
    </row>
    <row r="171" spans="1:25" s="419" customFormat="1" ht="13.5" customHeight="1">
      <c r="A171" s="539">
        <v>82</v>
      </c>
      <c r="B171" s="347" t="s">
        <v>741</v>
      </c>
      <c r="C171" s="598" t="s">
        <v>816</v>
      </c>
      <c r="D171" s="594">
        <v>719</v>
      </c>
      <c r="E171" s="596">
        <v>700000</v>
      </c>
      <c r="F171" s="545" t="s">
        <v>815</v>
      </c>
      <c r="G171" s="417" t="s">
        <v>734</v>
      </c>
      <c r="H171" s="424"/>
      <c r="I171" s="423"/>
      <c r="J171" s="423">
        <v>6500</v>
      </c>
      <c r="K171" s="423">
        <v>20000</v>
      </c>
      <c r="L171" s="423">
        <v>26412</v>
      </c>
      <c r="M171" s="423">
        <v>26412</v>
      </c>
      <c r="N171" s="423">
        <v>26412</v>
      </c>
      <c r="O171" s="423">
        <v>26412</v>
      </c>
      <c r="P171" s="423">
        <v>26412</v>
      </c>
      <c r="Q171" s="423">
        <v>26412</v>
      </c>
      <c r="R171" s="423">
        <v>26412</v>
      </c>
      <c r="S171" s="423">
        <v>26412</v>
      </c>
      <c r="T171" s="423">
        <v>26412</v>
      </c>
      <c r="U171" s="423">
        <v>26412</v>
      </c>
      <c r="V171" s="423">
        <v>26412</v>
      </c>
      <c r="W171" s="423">
        <v>382968</v>
      </c>
      <c r="X171" s="344">
        <f t="shared" si="4"/>
        <v>700000</v>
      </c>
      <c r="Y171" s="420"/>
    </row>
    <row r="172" spans="1:25" s="419" customFormat="1" ht="13.5" customHeight="1">
      <c r="A172" s="540"/>
      <c r="B172" s="422" t="s">
        <v>814</v>
      </c>
      <c r="C172" s="599"/>
      <c r="D172" s="595"/>
      <c r="E172" s="597"/>
      <c r="F172" s="546"/>
      <c r="G172" s="412">
        <v>0.05828</v>
      </c>
      <c r="H172" s="421">
        <v>39310</v>
      </c>
      <c r="I172" s="421">
        <v>38355</v>
      </c>
      <c r="J172" s="421">
        <v>33685</v>
      </c>
      <c r="K172" s="421">
        <v>27985</v>
      </c>
      <c r="L172" s="421">
        <v>27210</v>
      </c>
      <c r="M172" s="421">
        <v>26080</v>
      </c>
      <c r="N172" s="421">
        <v>25010</v>
      </c>
      <c r="O172" s="421">
        <v>23940</v>
      </c>
      <c r="P172" s="421">
        <v>22930</v>
      </c>
      <c r="Q172" s="421">
        <v>21795</v>
      </c>
      <c r="R172" s="421">
        <v>20725</v>
      </c>
      <c r="S172" s="421">
        <v>19655</v>
      </c>
      <c r="T172" s="421">
        <v>18635</v>
      </c>
      <c r="U172" s="421">
        <v>17510</v>
      </c>
      <c r="V172" s="421">
        <v>16440</v>
      </c>
      <c r="W172" s="421">
        <v>118155</v>
      </c>
      <c r="X172" s="339">
        <f t="shared" si="4"/>
        <v>497420</v>
      </c>
      <c r="Y172" s="420"/>
    </row>
    <row r="173" spans="1:25" s="419" customFormat="1" ht="13.5" customHeight="1">
      <c r="A173" s="539">
        <v>83</v>
      </c>
      <c r="B173" s="347" t="s">
        <v>741</v>
      </c>
      <c r="C173" s="598" t="s">
        <v>233</v>
      </c>
      <c r="D173" s="594">
        <v>720</v>
      </c>
      <c r="E173" s="596">
        <v>6035628</v>
      </c>
      <c r="F173" s="545" t="s">
        <v>811</v>
      </c>
      <c r="G173" s="417" t="s">
        <v>734</v>
      </c>
      <c r="H173" s="424"/>
      <c r="I173" s="423"/>
      <c r="J173" s="423">
        <v>5000</v>
      </c>
      <c r="K173" s="423">
        <v>60000</v>
      </c>
      <c r="L173" s="423">
        <v>140000</v>
      </c>
      <c r="M173" s="423">
        <v>219388</v>
      </c>
      <c r="N173" s="423">
        <v>238776</v>
      </c>
      <c r="O173" s="423">
        <v>238776</v>
      </c>
      <c r="P173" s="423">
        <v>238776</v>
      </c>
      <c r="Q173" s="423">
        <v>238776</v>
      </c>
      <c r="R173" s="423">
        <v>238776</v>
      </c>
      <c r="S173" s="423">
        <v>238776</v>
      </c>
      <c r="T173" s="423">
        <v>238776</v>
      </c>
      <c r="U173" s="423">
        <v>238776</v>
      </c>
      <c r="V173" s="423">
        <v>238776</v>
      </c>
      <c r="W173" s="423">
        <v>3462256</v>
      </c>
      <c r="X173" s="344">
        <f t="shared" si="4"/>
        <v>6035628</v>
      </c>
      <c r="Y173" s="420"/>
    </row>
    <row r="174" spans="1:25" s="419" customFormat="1" ht="13.5" customHeight="1">
      <c r="A174" s="540"/>
      <c r="B174" s="422" t="s">
        <v>813</v>
      </c>
      <c r="C174" s="599"/>
      <c r="D174" s="595"/>
      <c r="E174" s="597"/>
      <c r="F174" s="546"/>
      <c r="G174" s="412">
        <v>0.05668</v>
      </c>
      <c r="H174" s="421">
        <v>293135</v>
      </c>
      <c r="I174" s="421">
        <v>336575</v>
      </c>
      <c r="J174" s="421">
        <v>313425</v>
      </c>
      <c r="K174" s="421">
        <v>244250</v>
      </c>
      <c r="L174" s="421">
        <v>241955</v>
      </c>
      <c r="M174" s="421">
        <v>235115</v>
      </c>
      <c r="N174" s="421">
        <v>226075</v>
      </c>
      <c r="O174" s="421">
        <v>216395</v>
      </c>
      <c r="P174" s="421">
        <v>207280</v>
      </c>
      <c r="Q174" s="421">
        <v>197025</v>
      </c>
      <c r="R174" s="421">
        <v>187340</v>
      </c>
      <c r="S174" s="421">
        <v>177660</v>
      </c>
      <c r="T174" s="421">
        <v>168440</v>
      </c>
      <c r="U174" s="421">
        <v>158290</v>
      </c>
      <c r="V174" s="421">
        <v>148610</v>
      </c>
      <c r="W174" s="421">
        <v>1067995</v>
      </c>
      <c r="X174" s="339">
        <f t="shared" si="4"/>
        <v>4419565</v>
      </c>
      <c r="Y174" s="420"/>
    </row>
    <row r="175" spans="1:25" s="419" customFormat="1" ht="13.5" customHeight="1">
      <c r="A175" s="539">
        <v>84</v>
      </c>
      <c r="B175" s="347" t="s">
        <v>741</v>
      </c>
      <c r="C175" s="600" t="s">
        <v>812</v>
      </c>
      <c r="D175" s="590">
        <v>721</v>
      </c>
      <c r="E175" s="592">
        <v>1689037</v>
      </c>
      <c r="F175" s="545" t="s">
        <v>811</v>
      </c>
      <c r="G175" s="417" t="s">
        <v>734</v>
      </c>
      <c r="H175" s="424"/>
      <c r="I175" s="423"/>
      <c r="J175" s="423">
        <v>46065</v>
      </c>
      <c r="K175" s="423">
        <v>61420</v>
      </c>
      <c r="L175" s="423">
        <v>61420</v>
      </c>
      <c r="M175" s="423">
        <v>61420</v>
      </c>
      <c r="N175" s="423">
        <v>61420</v>
      </c>
      <c r="O175" s="423">
        <v>61420</v>
      </c>
      <c r="P175" s="423">
        <v>61420</v>
      </c>
      <c r="Q175" s="423">
        <v>61420</v>
      </c>
      <c r="R175" s="423">
        <v>61420</v>
      </c>
      <c r="S175" s="423">
        <v>61420</v>
      </c>
      <c r="T175" s="423">
        <v>61420</v>
      </c>
      <c r="U175" s="423">
        <v>61420</v>
      </c>
      <c r="V175" s="423">
        <v>61420</v>
      </c>
      <c r="W175" s="423">
        <v>905932</v>
      </c>
      <c r="X175" s="344">
        <f t="shared" si="4"/>
        <v>1689037</v>
      </c>
      <c r="Y175" s="420"/>
    </row>
    <row r="176" spans="1:25" s="419" customFormat="1" ht="13.5" customHeight="1">
      <c r="A176" s="540"/>
      <c r="B176" s="422" t="s">
        <v>810</v>
      </c>
      <c r="C176" s="601"/>
      <c r="D176" s="591"/>
      <c r="E176" s="593"/>
      <c r="F176" s="546"/>
      <c r="G176" s="412">
        <v>0.05626</v>
      </c>
      <c r="H176" s="421">
        <v>85990</v>
      </c>
      <c r="I176" s="421">
        <v>94190</v>
      </c>
      <c r="J176" s="421">
        <v>87520</v>
      </c>
      <c r="K176" s="421">
        <v>66250</v>
      </c>
      <c r="L176" s="421">
        <v>63935</v>
      </c>
      <c r="M176" s="421">
        <v>61270</v>
      </c>
      <c r="N176" s="421">
        <v>58780</v>
      </c>
      <c r="O176" s="421">
        <v>56285</v>
      </c>
      <c r="P176" s="421">
        <v>53945</v>
      </c>
      <c r="Q176" s="421">
        <v>51305</v>
      </c>
      <c r="R176" s="421">
        <v>48815</v>
      </c>
      <c r="S176" s="421">
        <v>46325</v>
      </c>
      <c r="T176" s="421">
        <v>43955</v>
      </c>
      <c r="U176" s="421">
        <v>41340</v>
      </c>
      <c r="V176" s="421">
        <v>38850</v>
      </c>
      <c r="W176" s="421">
        <v>284020</v>
      </c>
      <c r="X176" s="339">
        <f t="shared" si="4"/>
        <v>1182775</v>
      </c>
      <c r="Y176" s="420"/>
    </row>
    <row r="177" spans="1:25" s="419" customFormat="1" ht="13.5" customHeight="1">
      <c r="A177" s="539">
        <v>85</v>
      </c>
      <c r="B177" s="347" t="s">
        <v>741</v>
      </c>
      <c r="C177" s="598" t="s">
        <v>809</v>
      </c>
      <c r="D177" s="594" t="s">
        <v>808</v>
      </c>
      <c r="E177" s="596">
        <v>115654</v>
      </c>
      <c r="F177" s="545" t="s">
        <v>803</v>
      </c>
      <c r="G177" s="417" t="s">
        <v>734</v>
      </c>
      <c r="H177" s="424"/>
      <c r="I177" s="423"/>
      <c r="J177" s="423">
        <v>2124</v>
      </c>
      <c r="K177" s="423">
        <v>4248</v>
      </c>
      <c r="L177" s="423">
        <v>4248</v>
      </c>
      <c r="M177" s="423">
        <v>4248</v>
      </c>
      <c r="N177" s="423">
        <v>4248</v>
      </c>
      <c r="O177" s="423">
        <v>4248</v>
      </c>
      <c r="P177" s="423">
        <v>4248</v>
      </c>
      <c r="Q177" s="423">
        <v>4248</v>
      </c>
      <c r="R177" s="423">
        <v>4248</v>
      </c>
      <c r="S177" s="423">
        <v>4248</v>
      </c>
      <c r="T177" s="423">
        <v>4248</v>
      </c>
      <c r="U177" s="423">
        <v>4248</v>
      </c>
      <c r="V177" s="423">
        <v>4248</v>
      </c>
      <c r="W177" s="423">
        <v>62554</v>
      </c>
      <c r="X177" s="344">
        <f t="shared" si="4"/>
        <v>115654</v>
      </c>
      <c r="Y177" s="420"/>
    </row>
    <row r="178" spans="1:25" s="419" customFormat="1" ht="13.5" customHeight="1">
      <c r="A178" s="540"/>
      <c r="B178" s="422" t="s">
        <v>807</v>
      </c>
      <c r="C178" s="599"/>
      <c r="D178" s="595"/>
      <c r="E178" s="597"/>
      <c r="F178" s="546"/>
      <c r="G178" s="412" t="s">
        <v>806</v>
      </c>
      <c r="H178" s="421">
        <v>5765</v>
      </c>
      <c r="I178" s="421">
        <v>5910</v>
      </c>
      <c r="J178" s="421">
        <v>5910</v>
      </c>
      <c r="K178" s="421">
        <v>5770</v>
      </c>
      <c r="L178" s="421">
        <v>5570</v>
      </c>
      <c r="M178" s="421">
        <v>5335</v>
      </c>
      <c r="N178" s="421">
        <v>5120</v>
      </c>
      <c r="O178" s="421">
        <v>4900</v>
      </c>
      <c r="P178" s="421">
        <v>4700</v>
      </c>
      <c r="Q178" s="421">
        <v>4470</v>
      </c>
      <c r="R178" s="421">
        <v>4250</v>
      </c>
      <c r="S178" s="421">
        <v>4035</v>
      </c>
      <c r="T178" s="421">
        <v>3825</v>
      </c>
      <c r="U178" s="421">
        <v>3600</v>
      </c>
      <c r="V178" s="421">
        <v>3385</v>
      </c>
      <c r="W178" s="421">
        <v>24675</v>
      </c>
      <c r="X178" s="339">
        <f t="shared" si="4"/>
        <v>97220</v>
      </c>
      <c r="Y178" s="420"/>
    </row>
    <row r="179" spans="1:25" s="419" customFormat="1" ht="13.5" customHeight="1">
      <c r="A179" s="539">
        <v>86</v>
      </c>
      <c r="B179" s="347" t="s">
        <v>741</v>
      </c>
      <c r="C179" s="598" t="s">
        <v>805</v>
      </c>
      <c r="D179" s="594" t="s">
        <v>804</v>
      </c>
      <c r="E179" s="596">
        <v>182794.55</v>
      </c>
      <c r="F179" s="545" t="s">
        <v>803</v>
      </c>
      <c r="G179" s="417" t="s">
        <v>734</v>
      </c>
      <c r="H179" s="424"/>
      <c r="I179" s="423"/>
      <c r="J179" s="423">
        <v>7462</v>
      </c>
      <c r="K179" s="423">
        <v>14924</v>
      </c>
      <c r="L179" s="423">
        <v>14924</v>
      </c>
      <c r="M179" s="423">
        <v>14924</v>
      </c>
      <c r="N179" s="423">
        <v>14924</v>
      </c>
      <c r="O179" s="423">
        <v>14924</v>
      </c>
      <c r="P179" s="423">
        <v>14924</v>
      </c>
      <c r="Q179" s="423">
        <v>14924</v>
      </c>
      <c r="R179" s="423">
        <v>14924</v>
      </c>
      <c r="S179" s="423">
        <v>14924</v>
      </c>
      <c r="T179" s="423">
        <v>14924</v>
      </c>
      <c r="U179" s="423">
        <v>14924</v>
      </c>
      <c r="V179" s="423">
        <v>11168.55</v>
      </c>
      <c r="W179" s="423"/>
      <c r="X179" s="344">
        <f t="shared" si="4"/>
        <v>182794.55</v>
      </c>
      <c r="Y179" s="420"/>
    </row>
    <row r="180" spans="1:25" s="419" customFormat="1" ht="13.5" customHeight="1">
      <c r="A180" s="540"/>
      <c r="B180" s="422" t="s">
        <v>802</v>
      </c>
      <c r="C180" s="599"/>
      <c r="D180" s="595"/>
      <c r="E180" s="597"/>
      <c r="F180" s="546"/>
      <c r="G180" s="412">
        <v>0.04694</v>
      </c>
      <c r="H180" s="421">
        <v>7485</v>
      </c>
      <c r="I180" s="421">
        <v>8700</v>
      </c>
      <c r="J180" s="421">
        <v>8695</v>
      </c>
      <c r="K180" s="421">
        <v>8235</v>
      </c>
      <c r="L180" s="421">
        <v>7550</v>
      </c>
      <c r="M180" s="421">
        <v>6815</v>
      </c>
      <c r="N180" s="421">
        <v>6105</v>
      </c>
      <c r="O180" s="421">
        <v>5395</v>
      </c>
      <c r="P180" s="421">
        <v>4700</v>
      </c>
      <c r="Q180" s="421">
        <v>3975</v>
      </c>
      <c r="R180" s="421">
        <v>3265</v>
      </c>
      <c r="S180" s="421">
        <v>2555</v>
      </c>
      <c r="T180" s="421">
        <v>1850</v>
      </c>
      <c r="U180" s="421">
        <v>1135</v>
      </c>
      <c r="V180" s="421">
        <v>450</v>
      </c>
      <c r="W180" s="421"/>
      <c r="X180" s="339">
        <f t="shared" si="4"/>
        <v>76910</v>
      </c>
      <c r="Y180" s="420"/>
    </row>
    <row r="181" spans="1:25" s="419" customFormat="1" ht="19.5" customHeight="1">
      <c r="A181" s="539">
        <v>87</v>
      </c>
      <c r="B181" s="347" t="s">
        <v>741</v>
      </c>
      <c r="C181" s="588" t="s">
        <v>801</v>
      </c>
      <c r="D181" s="594" t="s">
        <v>800</v>
      </c>
      <c r="E181" s="596">
        <v>369620</v>
      </c>
      <c r="F181" s="545" t="s">
        <v>796</v>
      </c>
      <c r="G181" s="417" t="s">
        <v>734</v>
      </c>
      <c r="H181" s="423"/>
      <c r="I181" s="424"/>
      <c r="J181" s="423">
        <v>12630</v>
      </c>
      <c r="K181" s="423">
        <v>25260</v>
      </c>
      <c r="L181" s="423">
        <v>25260</v>
      </c>
      <c r="M181" s="423">
        <v>25260</v>
      </c>
      <c r="N181" s="423">
        <v>25260</v>
      </c>
      <c r="O181" s="423">
        <v>25260</v>
      </c>
      <c r="P181" s="423">
        <v>25260</v>
      </c>
      <c r="Q181" s="423">
        <v>23494</v>
      </c>
      <c r="R181" s="423">
        <v>18196</v>
      </c>
      <c r="S181" s="423">
        <v>18196</v>
      </c>
      <c r="T181" s="423">
        <v>18196</v>
      </c>
      <c r="U181" s="423">
        <v>18196</v>
      </c>
      <c r="V181" s="423">
        <v>18196</v>
      </c>
      <c r="W181" s="423">
        <v>90956</v>
      </c>
      <c r="X181" s="344">
        <f t="shared" si="4"/>
        <v>369620</v>
      </c>
      <c r="Y181" s="420"/>
    </row>
    <row r="182" spans="1:25" s="419" customFormat="1" ht="19.5" customHeight="1">
      <c r="A182" s="540"/>
      <c r="B182" s="422" t="s">
        <v>799</v>
      </c>
      <c r="C182" s="589"/>
      <c r="D182" s="595"/>
      <c r="E182" s="597"/>
      <c r="F182" s="546"/>
      <c r="G182" s="412">
        <v>0.04887</v>
      </c>
      <c r="H182" s="421">
        <v>13965</v>
      </c>
      <c r="I182" s="421">
        <v>18315</v>
      </c>
      <c r="J182" s="421">
        <v>18310</v>
      </c>
      <c r="K182" s="421">
        <v>17500</v>
      </c>
      <c r="L182" s="421">
        <v>16290</v>
      </c>
      <c r="M182" s="421">
        <v>14995</v>
      </c>
      <c r="N182" s="421">
        <v>13745</v>
      </c>
      <c r="O182" s="421">
        <v>12490</v>
      </c>
      <c r="P182" s="421">
        <v>11270</v>
      </c>
      <c r="Q182" s="421">
        <v>9990</v>
      </c>
      <c r="R182" s="421">
        <v>8880</v>
      </c>
      <c r="S182" s="421">
        <v>7975</v>
      </c>
      <c r="T182" s="421">
        <v>7095</v>
      </c>
      <c r="U182" s="421">
        <v>6175</v>
      </c>
      <c r="V182" s="421">
        <v>5270</v>
      </c>
      <c r="W182" s="421">
        <v>12885</v>
      </c>
      <c r="X182" s="339">
        <f t="shared" si="4"/>
        <v>195150</v>
      </c>
      <c r="Y182" s="420"/>
    </row>
    <row r="183" spans="1:25" s="419" customFormat="1" ht="19.5" customHeight="1">
      <c r="A183" s="539">
        <v>88</v>
      </c>
      <c r="B183" s="347" t="s">
        <v>741</v>
      </c>
      <c r="C183" s="588" t="s">
        <v>798</v>
      </c>
      <c r="D183" s="590" t="s">
        <v>797</v>
      </c>
      <c r="E183" s="592">
        <v>364291</v>
      </c>
      <c r="F183" s="537" t="s">
        <v>796</v>
      </c>
      <c r="G183" s="417" t="s">
        <v>734</v>
      </c>
      <c r="H183" s="423"/>
      <c r="I183" s="423"/>
      <c r="J183" s="423">
        <v>11154</v>
      </c>
      <c r="K183" s="423">
        <v>22308</v>
      </c>
      <c r="L183" s="423">
        <v>22308</v>
      </c>
      <c r="M183" s="423">
        <v>22308</v>
      </c>
      <c r="N183" s="423">
        <v>22308</v>
      </c>
      <c r="O183" s="423">
        <v>22308</v>
      </c>
      <c r="P183" s="423">
        <v>22308</v>
      </c>
      <c r="Q183" s="423">
        <v>21672</v>
      </c>
      <c r="R183" s="423">
        <v>19764</v>
      </c>
      <c r="S183" s="423">
        <v>19764</v>
      </c>
      <c r="T183" s="423">
        <v>19764</v>
      </c>
      <c r="U183" s="423">
        <v>19764</v>
      </c>
      <c r="V183" s="423">
        <v>19764</v>
      </c>
      <c r="W183" s="423">
        <v>98797</v>
      </c>
      <c r="X183" s="344">
        <f t="shared" si="4"/>
        <v>364291</v>
      </c>
      <c r="Y183" s="420"/>
    </row>
    <row r="184" spans="1:25" s="419" customFormat="1" ht="19.5" customHeight="1">
      <c r="A184" s="540"/>
      <c r="B184" s="422" t="s">
        <v>795</v>
      </c>
      <c r="C184" s="589"/>
      <c r="D184" s="591"/>
      <c r="E184" s="593"/>
      <c r="F184" s="538"/>
      <c r="G184" s="412">
        <v>0.04887</v>
      </c>
      <c r="H184" s="421">
        <v>13745</v>
      </c>
      <c r="I184" s="421">
        <v>18055</v>
      </c>
      <c r="J184" s="421">
        <v>18045</v>
      </c>
      <c r="K184" s="421">
        <v>17330</v>
      </c>
      <c r="L184" s="421">
        <v>16270</v>
      </c>
      <c r="M184" s="421">
        <v>15120</v>
      </c>
      <c r="N184" s="421">
        <v>14015</v>
      </c>
      <c r="O184" s="421">
        <v>12910</v>
      </c>
      <c r="P184" s="421">
        <v>11835</v>
      </c>
      <c r="Q184" s="421">
        <v>10700</v>
      </c>
      <c r="R184" s="421">
        <v>9645</v>
      </c>
      <c r="S184" s="421">
        <v>8665</v>
      </c>
      <c r="T184" s="421">
        <v>7705</v>
      </c>
      <c r="U184" s="421">
        <v>6705</v>
      </c>
      <c r="V184" s="421">
        <v>5725</v>
      </c>
      <c r="W184" s="421">
        <v>13995</v>
      </c>
      <c r="X184" s="339">
        <f t="shared" si="4"/>
        <v>200465</v>
      </c>
      <c r="Y184" s="420"/>
    </row>
    <row r="185" spans="1:25" s="419" customFormat="1" ht="13.5" customHeight="1">
      <c r="A185" s="539">
        <v>89</v>
      </c>
      <c r="B185" s="347" t="s">
        <v>741</v>
      </c>
      <c r="C185" s="598" t="s">
        <v>794</v>
      </c>
      <c r="D185" s="594" t="s">
        <v>793</v>
      </c>
      <c r="E185" s="596">
        <v>394128</v>
      </c>
      <c r="F185" s="537" t="s">
        <v>792</v>
      </c>
      <c r="G185" s="417" t="s">
        <v>734</v>
      </c>
      <c r="H185" s="424"/>
      <c r="I185" s="423"/>
      <c r="J185" s="423">
        <v>15084</v>
      </c>
      <c r="K185" s="423">
        <v>30168</v>
      </c>
      <c r="L185" s="423">
        <v>30168</v>
      </c>
      <c r="M185" s="423">
        <v>30168</v>
      </c>
      <c r="N185" s="423">
        <v>30168</v>
      </c>
      <c r="O185" s="423">
        <v>30168</v>
      </c>
      <c r="P185" s="423">
        <v>30168</v>
      </c>
      <c r="Q185" s="423">
        <v>27942</v>
      </c>
      <c r="R185" s="423">
        <v>21264</v>
      </c>
      <c r="S185" s="423">
        <v>21264</v>
      </c>
      <c r="T185" s="423">
        <v>21264</v>
      </c>
      <c r="U185" s="423">
        <v>21264</v>
      </c>
      <c r="V185" s="423">
        <v>21264</v>
      </c>
      <c r="W185" s="423">
        <v>63774</v>
      </c>
      <c r="X185" s="344">
        <f t="shared" si="4"/>
        <v>394128</v>
      </c>
      <c r="Y185" s="420"/>
    </row>
    <row r="186" spans="1:25" s="419" customFormat="1" ht="13.5" customHeight="1">
      <c r="A186" s="540"/>
      <c r="B186" s="422" t="s">
        <v>791</v>
      </c>
      <c r="C186" s="599"/>
      <c r="D186" s="595"/>
      <c r="E186" s="597"/>
      <c r="F186" s="538"/>
      <c r="G186" s="412">
        <v>0.04839</v>
      </c>
      <c r="H186" s="421">
        <v>15375</v>
      </c>
      <c r="I186" s="421">
        <v>19340</v>
      </c>
      <c r="J186" s="421">
        <v>19330</v>
      </c>
      <c r="K186" s="421">
        <v>18370</v>
      </c>
      <c r="L186" s="421">
        <v>16940</v>
      </c>
      <c r="M186" s="421">
        <v>15410</v>
      </c>
      <c r="N186" s="421">
        <v>13930</v>
      </c>
      <c r="O186" s="421">
        <v>12450</v>
      </c>
      <c r="P186" s="421">
        <v>11000</v>
      </c>
      <c r="Q186" s="421">
        <v>9490</v>
      </c>
      <c r="R186" s="421">
        <v>8185</v>
      </c>
      <c r="S186" s="421">
        <v>7145</v>
      </c>
      <c r="T186" s="421">
        <v>6120</v>
      </c>
      <c r="U186" s="421">
        <v>5055</v>
      </c>
      <c r="V186" s="421">
        <v>4015</v>
      </c>
      <c r="W186" s="421">
        <v>5840</v>
      </c>
      <c r="X186" s="339">
        <f t="shared" si="4"/>
        <v>187995</v>
      </c>
      <c r="Y186" s="420"/>
    </row>
    <row r="187" spans="1:25" s="419" customFormat="1" ht="21" customHeight="1">
      <c r="A187" s="539">
        <v>90</v>
      </c>
      <c r="B187" s="347" t="s">
        <v>741</v>
      </c>
      <c r="C187" s="588" t="s">
        <v>790</v>
      </c>
      <c r="D187" s="594" t="s">
        <v>789</v>
      </c>
      <c r="E187" s="596">
        <v>440962</v>
      </c>
      <c r="F187" s="537" t="s">
        <v>788</v>
      </c>
      <c r="G187" s="417" t="s">
        <v>734</v>
      </c>
      <c r="H187" s="423"/>
      <c r="I187" s="424"/>
      <c r="J187" s="423">
        <v>12376</v>
      </c>
      <c r="K187" s="423">
        <v>24752</v>
      </c>
      <c r="L187" s="423">
        <v>24752</v>
      </c>
      <c r="M187" s="423">
        <v>24752</v>
      </c>
      <c r="N187" s="423">
        <v>24752</v>
      </c>
      <c r="O187" s="423">
        <v>24752</v>
      </c>
      <c r="P187" s="423">
        <v>24752</v>
      </c>
      <c r="Q187" s="423">
        <v>23500</v>
      </c>
      <c r="R187" s="423">
        <v>19744</v>
      </c>
      <c r="S187" s="423">
        <v>19744</v>
      </c>
      <c r="T187" s="423">
        <v>19744</v>
      </c>
      <c r="U187" s="423">
        <v>19744</v>
      </c>
      <c r="V187" s="423">
        <v>19744</v>
      </c>
      <c r="W187" s="423">
        <v>157854</v>
      </c>
      <c r="X187" s="344">
        <f t="shared" si="4"/>
        <v>440962</v>
      </c>
      <c r="Y187" s="420"/>
    </row>
    <row r="188" spans="1:25" s="419" customFormat="1" ht="21" customHeight="1">
      <c r="A188" s="540"/>
      <c r="B188" s="422" t="s">
        <v>787</v>
      </c>
      <c r="C188" s="589"/>
      <c r="D188" s="595"/>
      <c r="E188" s="597"/>
      <c r="F188" s="538"/>
      <c r="G188" s="412">
        <v>0.04892</v>
      </c>
      <c r="H188" s="421">
        <v>17010</v>
      </c>
      <c r="I188" s="421">
        <v>21875</v>
      </c>
      <c r="J188" s="421">
        <v>21865</v>
      </c>
      <c r="K188" s="421">
        <v>21070</v>
      </c>
      <c r="L188" s="421">
        <v>19900</v>
      </c>
      <c r="M188" s="421">
        <v>18615</v>
      </c>
      <c r="N188" s="421">
        <v>17390</v>
      </c>
      <c r="O188" s="421">
        <v>16160</v>
      </c>
      <c r="P188" s="421">
        <v>14975</v>
      </c>
      <c r="Q188" s="421">
        <v>13705</v>
      </c>
      <c r="R188" s="421">
        <v>12580</v>
      </c>
      <c r="S188" s="421">
        <v>11600</v>
      </c>
      <c r="T188" s="421">
        <v>10650</v>
      </c>
      <c r="U188" s="421">
        <v>9640</v>
      </c>
      <c r="V188" s="421">
        <v>8660</v>
      </c>
      <c r="W188" s="421">
        <v>34090</v>
      </c>
      <c r="X188" s="339">
        <f t="shared" si="4"/>
        <v>269785</v>
      </c>
      <c r="Y188" s="420"/>
    </row>
    <row r="189" spans="1:25" s="419" customFormat="1" ht="13.5" customHeight="1">
      <c r="A189" s="539">
        <v>91</v>
      </c>
      <c r="B189" s="347" t="s">
        <v>741</v>
      </c>
      <c r="C189" s="588" t="s">
        <v>786</v>
      </c>
      <c r="D189" s="590" t="s">
        <v>785</v>
      </c>
      <c r="E189" s="592">
        <v>5433326</v>
      </c>
      <c r="F189" s="537" t="s">
        <v>784</v>
      </c>
      <c r="G189" s="417" t="s">
        <v>734</v>
      </c>
      <c r="H189" s="424"/>
      <c r="I189" s="423"/>
      <c r="J189" s="423">
        <v>98788</v>
      </c>
      <c r="K189" s="423">
        <v>197576</v>
      </c>
      <c r="L189" s="423">
        <v>197576</v>
      </c>
      <c r="M189" s="423">
        <v>197576</v>
      </c>
      <c r="N189" s="423">
        <v>197576</v>
      </c>
      <c r="O189" s="423">
        <v>197576</v>
      </c>
      <c r="P189" s="423">
        <v>197576</v>
      </c>
      <c r="Q189" s="423">
        <v>197576</v>
      </c>
      <c r="R189" s="423">
        <v>197576</v>
      </c>
      <c r="S189" s="423">
        <v>197576</v>
      </c>
      <c r="T189" s="423">
        <v>197576</v>
      </c>
      <c r="U189" s="423">
        <v>197576</v>
      </c>
      <c r="V189" s="423">
        <v>197576</v>
      </c>
      <c r="W189" s="423">
        <v>2963626</v>
      </c>
      <c r="X189" s="344">
        <f t="shared" si="4"/>
        <v>5433326</v>
      </c>
      <c r="Y189" s="420"/>
    </row>
    <row r="190" spans="1:25" s="419" customFormat="1" ht="13.5" customHeight="1">
      <c r="A190" s="540"/>
      <c r="B190" s="422" t="s">
        <v>783</v>
      </c>
      <c r="C190" s="589"/>
      <c r="D190" s="591"/>
      <c r="E190" s="593"/>
      <c r="F190" s="538"/>
      <c r="G190" s="412">
        <v>0.04741</v>
      </c>
      <c r="H190" s="421">
        <v>96255</v>
      </c>
      <c r="I190" s="421">
        <v>242630</v>
      </c>
      <c r="J190" s="421">
        <v>261110</v>
      </c>
      <c r="K190" s="421">
        <v>254960</v>
      </c>
      <c r="L190" s="421">
        <v>246140</v>
      </c>
      <c r="M190" s="421">
        <v>235970</v>
      </c>
      <c r="N190" s="421">
        <v>226470</v>
      </c>
      <c r="O190" s="421">
        <v>216975</v>
      </c>
      <c r="P190" s="421">
        <v>208050</v>
      </c>
      <c r="Q190" s="421">
        <v>197980</v>
      </c>
      <c r="R190" s="421">
        <v>188480</v>
      </c>
      <c r="S190" s="421">
        <v>178985</v>
      </c>
      <c r="T190" s="421">
        <v>169955</v>
      </c>
      <c r="U190" s="421">
        <v>159990</v>
      </c>
      <c r="V190" s="421">
        <v>150495</v>
      </c>
      <c r="W190" s="421">
        <v>1119060</v>
      </c>
      <c r="X190" s="339">
        <f t="shared" si="4"/>
        <v>4153505</v>
      </c>
      <c r="Y190" s="420"/>
    </row>
    <row r="191" spans="1:25" s="419" customFormat="1" ht="21" customHeight="1">
      <c r="A191" s="539">
        <v>92</v>
      </c>
      <c r="B191" s="347" t="s">
        <v>741</v>
      </c>
      <c r="C191" s="588" t="s">
        <v>782</v>
      </c>
      <c r="D191" s="594" t="s">
        <v>781</v>
      </c>
      <c r="E191" s="596">
        <v>1053313</v>
      </c>
      <c r="F191" s="537" t="s">
        <v>780</v>
      </c>
      <c r="G191" s="417" t="s">
        <v>734</v>
      </c>
      <c r="H191" s="424"/>
      <c r="I191" s="423"/>
      <c r="J191" s="423">
        <v>28388</v>
      </c>
      <c r="K191" s="423">
        <v>56776</v>
      </c>
      <c r="L191" s="423">
        <v>56776</v>
      </c>
      <c r="M191" s="423">
        <v>56776</v>
      </c>
      <c r="N191" s="423">
        <v>56776</v>
      </c>
      <c r="O191" s="423">
        <v>56776</v>
      </c>
      <c r="P191" s="423">
        <v>56776</v>
      </c>
      <c r="Q191" s="423">
        <v>50742</v>
      </c>
      <c r="R191" s="423">
        <v>32640</v>
      </c>
      <c r="S191" s="423">
        <v>32640</v>
      </c>
      <c r="T191" s="423">
        <v>32640</v>
      </c>
      <c r="U191" s="423">
        <v>32640</v>
      </c>
      <c r="V191" s="423">
        <v>32328</v>
      </c>
      <c r="W191" s="423">
        <v>470639</v>
      </c>
      <c r="X191" s="344">
        <f t="shared" si="4"/>
        <v>1053313</v>
      </c>
      <c r="Y191" s="420"/>
    </row>
    <row r="192" spans="1:25" s="419" customFormat="1" ht="21" customHeight="1">
      <c r="A192" s="540"/>
      <c r="B192" s="422" t="s">
        <v>779</v>
      </c>
      <c r="C192" s="589"/>
      <c r="D192" s="595"/>
      <c r="E192" s="597"/>
      <c r="F192" s="538"/>
      <c r="G192" s="412" t="s">
        <v>778</v>
      </c>
      <c r="H192" s="421">
        <v>33470</v>
      </c>
      <c r="I192" s="421">
        <v>52490</v>
      </c>
      <c r="J192" s="421">
        <v>52470</v>
      </c>
      <c r="K192" s="421">
        <v>50640</v>
      </c>
      <c r="L192" s="421">
        <v>47945</v>
      </c>
      <c r="M192" s="421">
        <v>44985</v>
      </c>
      <c r="N192" s="421">
        <v>42155</v>
      </c>
      <c r="O192" s="421">
        <v>39325</v>
      </c>
      <c r="P192" s="421">
        <v>36595</v>
      </c>
      <c r="Q192" s="421">
        <v>33665</v>
      </c>
      <c r="R192" s="421">
        <v>31320</v>
      </c>
      <c r="S192" s="421">
        <v>29695</v>
      </c>
      <c r="T192" s="421">
        <v>28145</v>
      </c>
      <c r="U192" s="421">
        <v>26445</v>
      </c>
      <c r="V192" s="421">
        <v>24815</v>
      </c>
      <c r="W192" s="421">
        <v>184150</v>
      </c>
      <c r="X192" s="339">
        <f t="shared" si="4"/>
        <v>758310</v>
      </c>
      <c r="Y192" s="420"/>
    </row>
    <row r="193" spans="1:25" s="419" customFormat="1" ht="21" customHeight="1">
      <c r="A193" s="539">
        <v>93</v>
      </c>
      <c r="B193" s="347" t="s">
        <v>741</v>
      </c>
      <c r="C193" s="588" t="s">
        <v>777</v>
      </c>
      <c r="D193" s="590" t="s">
        <v>776</v>
      </c>
      <c r="E193" s="592">
        <v>273339</v>
      </c>
      <c r="F193" s="537" t="s">
        <v>775</v>
      </c>
      <c r="G193" s="417" t="s">
        <v>734</v>
      </c>
      <c r="H193" s="424">
        <v>0</v>
      </c>
      <c r="I193" s="423">
        <v>68336</v>
      </c>
      <c r="J193" s="423">
        <v>68336</v>
      </c>
      <c r="K193" s="423">
        <v>68336</v>
      </c>
      <c r="L193" s="423">
        <v>68331</v>
      </c>
      <c r="M193" s="423"/>
      <c r="N193" s="423"/>
      <c r="O193" s="423"/>
      <c r="P193" s="423"/>
      <c r="Q193" s="423"/>
      <c r="R193" s="423"/>
      <c r="S193" s="423"/>
      <c r="T193" s="423"/>
      <c r="U193" s="423"/>
      <c r="V193" s="423"/>
      <c r="W193" s="423"/>
      <c r="X193" s="344">
        <f t="shared" si="4"/>
        <v>273339</v>
      </c>
      <c r="Y193" s="420"/>
    </row>
    <row r="194" spans="1:25" s="419" customFormat="1" ht="21" customHeight="1">
      <c r="A194" s="540"/>
      <c r="B194" s="422" t="s">
        <v>774</v>
      </c>
      <c r="C194" s="589"/>
      <c r="D194" s="591"/>
      <c r="E194" s="593"/>
      <c r="F194" s="538"/>
      <c r="G194" s="412" t="s">
        <v>773</v>
      </c>
      <c r="H194" s="421">
        <v>8750</v>
      </c>
      <c r="I194" s="421">
        <v>10905</v>
      </c>
      <c r="J194" s="421">
        <v>8190</v>
      </c>
      <c r="K194" s="421">
        <v>5310</v>
      </c>
      <c r="L194" s="421">
        <v>2445</v>
      </c>
      <c r="M194" s="421">
        <v>160</v>
      </c>
      <c r="N194" s="421"/>
      <c r="O194" s="421"/>
      <c r="P194" s="421"/>
      <c r="Q194" s="421"/>
      <c r="R194" s="421"/>
      <c r="S194" s="421"/>
      <c r="T194" s="421"/>
      <c r="U194" s="421"/>
      <c r="V194" s="421"/>
      <c r="W194" s="421"/>
      <c r="X194" s="339">
        <f t="shared" si="4"/>
        <v>35760</v>
      </c>
      <c r="Y194" s="420"/>
    </row>
    <row r="195" spans="1:25" s="419" customFormat="1" ht="21" customHeight="1">
      <c r="A195" s="539">
        <v>94</v>
      </c>
      <c r="B195" s="347" t="s">
        <v>741</v>
      </c>
      <c r="C195" s="588" t="s">
        <v>772</v>
      </c>
      <c r="D195" s="590" t="s">
        <v>771</v>
      </c>
      <c r="E195" s="592">
        <v>148836</v>
      </c>
      <c r="F195" s="537" t="s">
        <v>770</v>
      </c>
      <c r="G195" s="417" t="s">
        <v>734</v>
      </c>
      <c r="H195" s="423"/>
      <c r="I195" s="424"/>
      <c r="J195" s="423">
        <v>7088</v>
      </c>
      <c r="K195" s="423">
        <v>14176</v>
      </c>
      <c r="L195" s="423">
        <v>14176</v>
      </c>
      <c r="M195" s="423">
        <v>14176</v>
      </c>
      <c r="N195" s="423">
        <v>14176</v>
      </c>
      <c r="O195" s="423">
        <v>14176</v>
      </c>
      <c r="P195" s="423">
        <v>14176</v>
      </c>
      <c r="Q195" s="423">
        <v>14176</v>
      </c>
      <c r="R195" s="423">
        <v>14176</v>
      </c>
      <c r="S195" s="423">
        <v>14176</v>
      </c>
      <c r="T195" s="423">
        <v>14164</v>
      </c>
      <c r="U195" s="423"/>
      <c r="V195" s="423"/>
      <c r="W195" s="415"/>
      <c r="X195" s="344">
        <f t="shared" si="4"/>
        <v>148836</v>
      </c>
      <c r="Y195" s="420"/>
    </row>
    <row r="196" spans="1:25" s="419" customFormat="1" ht="21" customHeight="1">
      <c r="A196" s="540"/>
      <c r="B196" s="422" t="s">
        <v>769</v>
      </c>
      <c r="C196" s="589"/>
      <c r="D196" s="591"/>
      <c r="E196" s="593"/>
      <c r="F196" s="538"/>
      <c r="G196" s="412">
        <v>0.04143</v>
      </c>
      <c r="H196" s="421">
        <v>4715</v>
      </c>
      <c r="I196" s="421">
        <v>6255</v>
      </c>
      <c r="J196" s="421">
        <v>6250</v>
      </c>
      <c r="K196" s="421">
        <v>5865</v>
      </c>
      <c r="L196" s="421">
        <v>5285</v>
      </c>
      <c r="M196" s="421">
        <v>4675</v>
      </c>
      <c r="N196" s="421">
        <v>4080</v>
      </c>
      <c r="O196" s="421">
        <v>3485</v>
      </c>
      <c r="P196" s="421">
        <v>2895</v>
      </c>
      <c r="Q196" s="421">
        <v>2290</v>
      </c>
      <c r="R196" s="421">
        <v>1695</v>
      </c>
      <c r="S196" s="421">
        <v>1100</v>
      </c>
      <c r="T196" s="421">
        <v>505</v>
      </c>
      <c r="U196" s="421">
        <v>35</v>
      </c>
      <c r="V196" s="421"/>
      <c r="W196" s="410"/>
      <c r="X196" s="339">
        <f t="shared" si="4"/>
        <v>49130</v>
      </c>
      <c r="Y196" s="420"/>
    </row>
    <row r="197" spans="1:25" s="407" customFormat="1" ht="13.5" customHeight="1">
      <c r="A197" s="562">
        <v>95</v>
      </c>
      <c r="B197" s="418" t="s">
        <v>741</v>
      </c>
      <c r="C197" s="574" t="s">
        <v>768</v>
      </c>
      <c r="D197" s="586" t="s">
        <v>765</v>
      </c>
      <c r="E197" s="578">
        <v>1500000</v>
      </c>
      <c r="F197" s="584" t="s">
        <v>764</v>
      </c>
      <c r="G197" s="417" t="s">
        <v>734</v>
      </c>
      <c r="H197" s="415"/>
      <c r="I197" s="416"/>
      <c r="J197" s="415"/>
      <c r="K197" s="415">
        <v>41667</v>
      </c>
      <c r="L197" s="415">
        <v>55556</v>
      </c>
      <c r="M197" s="415">
        <v>55556</v>
      </c>
      <c r="N197" s="415">
        <v>55556</v>
      </c>
      <c r="O197" s="415">
        <v>55556</v>
      </c>
      <c r="P197" s="415">
        <v>55556</v>
      </c>
      <c r="Q197" s="415">
        <v>55556</v>
      </c>
      <c r="R197" s="415">
        <v>55556</v>
      </c>
      <c r="S197" s="415">
        <v>55556</v>
      </c>
      <c r="T197" s="415">
        <v>55556</v>
      </c>
      <c r="U197" s="415">
        <v>55556</v>
      </c>
      <c r="V197" s="415">
        <v>55556</v>
      </c>
      <c r="W197" s="415">
        <v>847217</v>
      </c>
      <c r="X197" s="414">
        <f t="shared" si="4"/>
        <v>1500000</v>
      </c>
      <c r="Y197" s="408"/>
    </row>
    <row r="198" spans="1:25" s="407" customFormat="1" ht="13.5" customHeight="1">
      <c r="A198" s="563"/>
      <c r="B198" s="413"/>
      <c r="C198" s="575"/>
      <c r="D198" s="587"/>
      <c r="E198" s="579"/>
      <c r="F198" s="585"/>
      <c r="G198" s="412">
        <v>0.04451</v>
      </c>
      <c r="H198" s="410">
        <v>35240</v>
      </c>
      <c r="I198" s="410">
        <v>67695</v>
      </c>
      <c r="J198" s="410">
        <v>67695</v>
      </c>
      <c r="K198" s="410">
        <v>67500</v>
      </c>
      <c r="L198" s="410">
        <v>65610</v>
      </c>
      <c r="M198" s="410">
        <v>62920</v>
      </c>
      <c r="N198" s="410">
        <v>60415</v>
      </c>
      <c r="O198" s="410">
        <v>57905</v>
      </c>
      <c r="P198" s="410">
        <v>55550</v>
      </c>
      <c r="Q198" s="410">
        <v>52890</v>
      </c>
      <c r="R198" s="410">
        <v>50385</v>
      </c>
      <c r="S198" s="410">
        <v>47880</v>
      </c>
      <c r="T198" s="410">
        <v>45495</v>
      </c>
      <c r="U198" s="410">
        <v>42865</v>
      </c>
      <c r="V198" s="410">
        <v>40355</v>
      </c>
      <c r="W198" s="410">
        <v>305115</v>
      </c>
      <c r="X198" s="409">
        <f t="shared" si="4"/>
        <v>1125515</v>
      </c>
      <c r="Y198" s="408"/>
    </row>
    <row r="199" spans="1:25" s="407" customFormat="1" ht="13.5" customHeight="1">
      <c r="A199" s="562">
        <v>96</v>
      </c>
      <c r="B199" s="418" t="s">
        <v>741</v>
      </c>
      <c r="C199" s="574" t="s">
        <v>233</v>
      </c>
      <c r="D199" s="576" t="s">
        <v>765</v>
      </c>
      <c r="E199" s="582">
        <v>252657</v>
      </c>
      <c r="F199" s="584" t="s">
        <v>764</v>
      </c>
      <c r="G199" s="417" t="s">
        <v>734</v>
      </c>
      <c r="H199" s="416"/>
      <c r="I199" s="415"/>
      <c r="J199" s="415"/>
      <c r="K199" s="415">
        <v>15792</v>
      </c>
      <c r="L199" s="415">
        <v>21056</v>
      </c>
      <c r="M199" s="415">
        <v>21056</v>
      </c>
      <c r="N199" s="415">
        <v>21056</v>
      </c>
      <c r="O199" s="415">
        <v>21056</v>
      </c>
      <c r="P199" s="415">
        <v>21056</v>
      </c>
      <c r="Q199" s="415">
        <v>21056</v>
      </c>
      <c r="R199" s="415">
        <v>21056</v>
      </c>
      <c r="S199" s="415">
        <v>21056</v>
      </c>
      <c r="T199" s="415">
        <v>21056</v>
      </c>
      <c r="U199" s="415">
        <v>21056</v>
      </c>
      <c r="V199" s="415">
        <v>21056</v>
      </c>
      <c r="W199" s="415">
        <v>5249</v>
      </c>
      <c r="X199" s="414">
        <f aca="true" t="shared" si="5" ref="X199:X208">SUM(H199:W199)</f>
        <v>252657</v>
      </c>
      <c r="Y199" s="408"/>
    </row>
    <row r="200" spans="1:25" s="407" customFormat="1" ht="13.5" customHeight="1">
      <c r="A200" s="563"/>
      <c r="B200" s="413"/>
      <c r="C200" s="575"/>
      <c r="D200" s="577"/>
      <c r="E200" s="583"/>
      <c r="F200" s="585"/>
      <c r="G200" s="412">
        <v>0.04041</v>
      </c>
      <c r="H200" s="410">
        <v>3440</v>
      </c>
      <c r="I200" s="410">
        <v>10355</v>
      </c>
      <c r="J200" s="410">
        <v>10355</v>
      </c>
      <c r="K200" s="410">
        <v>10290</v>
      </c>
      <c r="L200" s="410">
        <v>9600</v>
      </c>
      <c r="M200" s="410">
        <v>8710</v>
      </c>
      <c r="N200" s="410">
        <v>7850</v>
      </c>
      <c r="O200" s="410">
        <v>6985</v>
      </c>
      <c r="P200" s="410">
        <v>6140</v>
      </c>
      <c r="Q200" s="410">
        <v>5260</v>
      </c>
      <c r="R200" s="410">
        <v>4400</v>
      </c>
      <c r="S200" s="410">
        <v>3535</v>
      </c>
      <c r="T200" s="410">
        <v>2680</v>
      </c>
      <c r="U200" s="410">
        <v>1810</v>
      </c>
      <c r="V200" s="410">
        <v>945</v>
      </c>
      <c r="W200" s="410">
        <v>150</v>
      </c>
      <c r="X200" s="409">
        <f t="shared" si="5"/>
        <v>92505</v>
      </c>
      <c r="Y200" s="408"/>
    </row>
    <row r="201" spans="1:25" s="407" customFormat="1" ht="19.5" customHeight="1">
      <c r="A201" s="562">
        <v>97</v>
      </c>
      <c r="B201" s="418" t="s">
        <v>741</v>
      </c>
      <c r="C201" s="574" t="s">
        <v>767</v>
      </c>
      <c r="D201" s="576" t="s">
        <v>765</v>
      </c>
      <c r="E201" s="578">
        <v>343583</v>
      </c>
      <c r="F201" s="584" t="s">
        <v>764</v>
      </c>
      <c r="G201" s="417" t="s">
        <v>734</v>
      </c>
      <c r="H201" s="416"/>
      <c r="I201" s="416"/>
      <c r="J201" s="415"/>
      <c r="K201" s="415">
        <v>21474</v>
      </c>
      <c r="L201" s="415">
        <v>28632</v>
      </c>
      <c r="M201" s="415">
        <v>28632</v>
      </c>
      <c r="N201" s="415">
        <v>28632</v>
      </c>
      <c r="O201" s="415">
        <v>28632</v>
      </c>
      <c r="P201" s="415">
        <v>28632</v>
      </c>
      <c r="Q201" s="415">
        <v>28632</v>
      </c>
      <c r="R201" s="415">
        <v>28632</v>
      </c>
      <c r="S201" s="415">
        <v>28632</v>
      </c>
      <c r="T201" s="415">
        <v>28632</v>
      </c>
      <c r="U201" s="415">
        <v>28632</v>
      </c>
      <c r="V201" s="415">
        <v>28632</v>
      </c>
      <c r="W201" s="415">
        <v>7157</v>
      </c>
      <c r="X201" s="414">
        <f t="shared" si="5"/>
        <v>343583</v>
      </c>
      <c r="Y201" s="408"/>
    </row>
    <row r="202" spans="1:25" s="407" customFormat="1" ht="19.5" customHeight="1">
      <c r="A202" s="563"/>
      <c r="B202" s="413"/>
      <c r="C202" s="575"/>
      <c r="D202" s="577"/>
      <c r="E202" s="579"/>
      <c r="F202" s="585"/>
      <c r="G202" s="412">
        <v>0.04041</v>
      </c>
      <c r="H202" s="411">
        <v>7035</v>
      </c>
      <c r="I202" s="410">
        <v>14080</v>
      </c>
      <c r="J202" s="410">
        <v>14080</v>
      </c>
      <c r="K202" s="410">
        <v>13990</v>
      </c>
      <c r="L202" s="410">
        <v>13055</v>
      </c>
      <c r="M202" s="410">
        <v>11845</v>
      </c>
      <c r="N202" s="410">
        <v>10675</v>
      </c>
      <c r="O202" s="410">
        <v>9500</v>
      </c>
      <c r="P202" s="410">
        <v>8350</v>
      </c>
      <c r="Q202" s="410">
        <v>7155</v>
      </c>
      <c r="R202" s="410">
        <v>5980</v>
      </c>
      <c r="S202" s="410">
        <v>4805</v>
      </c>
      <c r="T202" s="410">
        <v>3645</v>
      </c>
      <c r="U202" s="410">
        <v>2460</v>
      </c>
      <c r="V202" s="410">
        <v>1290</v>
      </c>
      <c r="W202" s="410">
        <v>205</v>
      </c>
      <c r="X202" s="409">
        <f t="shared" si="5"/>
        <v>128150</v>
      </c>
      <c r="Y202" s="408"/>
    </row>
    <row r="203" spans="1:25" s="407" customFormat="1" ht="13.5" customHeight="1">
      <c r="A203" s="562">
        <v>98</v>
      </c>
      <c r="B203" s="418" t="s">
        <v>741</v>
      </c>
      <c r="C203" s="580" t="s">
        <v>766</v>
      </c>
      <c r="D203" s="576" t="s">
        <v>765</v>
      </c>
      <c r="E203" s="582">
        <v>197141</v>
      </c>
      <c r="F203" s="584" t="s">
        <v>764</v>
      </c>
      <c r="G203" s="417" t="s">
        <v>734</v>
      </c>
      <c r="H203" s="416"/>
      <c r="I203" s="415"/>
      <c r="J203" s="416"/>
      <c r="K203" s="415">
        <v>12321</v>
      </c>
      <c r="L203" s="415">
        <v>16428</v>
      </c>
      <c r="M203" s="415">
        <v>16428</v>
      </c>
      <c r="N203" s="415">
        <v>16428</v>
      </c>
      <c r="O203" s="415">
        <v>16428</v>
      </c>
      <c r="P203" s="415">
        <v>16428</v>
      </c>
      <c r="Q203" s="415">
        <v>16428</v>
      </c>
      <c r="R203" s="415">
        <v>16428</v>
      </c>
      <c r="S203" s="415">
        <v>16428</v>
      </c>
      <c r="T203" s="415">
        <v>16428</v>
      </c>
      <c r="U203" s="415">
        <v>16428</v>
      </c>
      <c r="V203" s="415">
        <v>16428</v>
      </c>
      <c r="W203" s="415">
        <v>4112</v>
      </c>
      <c r="X203" s="414">
        <f t="shared" si="5"/>
        <v>197141</v>
      </c>
      <c r="Y203" s="408"/>
    </row>
    <row r="204" spans="1:25" s="407" customFormat="1" ht="13.5" customHeight="1">
      <c r="A204" s="563"/>
      <c r="B204" s="413"/>
      <c r="C204" s="581"/>
      <c r="D204" s="577"/>
      <c r="E204" s="583"/>
      <c r="F204" s="585"/>
      <c r="G204" s="412">
        <v>0.04041</v>
      </c>
      <c r="H204" s="411">
        <v>3290</v>
      </c>
      <c r="I204" s="410">
        <v>8080</v>
      </c>
      <c r="J204" s="410">
        <v>8080</v>
      </c>
      <c r="K204" s="410">
        <v>8030</v>
      </c>
      <c r="L204" s="410">
        <v>7490</v>
      </c>
      <c r="M204" s="410">
        <v>6800</v>
      </c>
      <c r="N204" s="410">
        <v>6125</v>
      </c>
      <c r="O204" s="410">
        <v>5450</v>
      </c>
      <c r="P204" s="410">
        <v>4790</v>
      </c>
      <c r="Q204" s="410">
        <v>4105</v>
      </c>
      <c r="R204" s="410">
        <v>3435</v>
      </c>
      <c r="S204" s="410">
        <v>2760</v>
      </c>
      <c r="T204" s="410">
        <v>2090</v>
      </c>
      <c r="U204" s="410">
        <v>1415</v>
      </c>
      <c r="V204" s="410">
        <v>740</v>
      </c>
      <c r="W204" s="410">
        <v>120</v>
      </c>
      <c r="X204" s="409">
        <f t="shared" si="5"/>
        <v>72800</v>
      </c>
      <c r="Y204" s="408"/>
    </row>
    <row r="205" spans="1:25" s="395" customFormat="1" ht="13.5" customHeight="1" hidden="1">
      <c r="A205" s="562">
        <v>99</v>
      </c>
      <c r="B205" s="406"/>
      <c r="C205" s="564"/>
      <c r="D205" s="566"/>
      <c r="E205" s="568"/>
      <c r="F205" s="570"/>
      <c r="G205" s="405"/>
      <c r="H205" s="404"/>
      <c r="I205" s="403"/>
      <c r="J205" s="403"/>
      <c r="K205" s="403"/>
      <c r="L205" s="403"/>
      <c r="M205" s="403"/>
      <c r="N205" s="403"/>
      <c r="O205" s="403"/>
      <c r="P205" s="403"/>
      <c r="Q205" s="403"/>
      <c r="R205" s="403"/>
      <c r="S205" s="403"/>
      <c r="T205" s="403"/>
      <c r="U205" s="403"/>
      <c r="V205" s="403"/>
      <c r="W205" s="403"/>
      <c r="X205" s="402">
        <f t="shared" si="5"/>
        <v>0</v>
      </c>
      <c r="Y205" s="396"/>
    </row>
    <row r="206" spans="1:25" s="395" customFormat="1" ht="13.5" customHeight="1" hidden="1">
      <c r="A206" s="563"/>
      <c r="B206" s="401"/>
      <c r="C206" s="565"/>
      <c r="D206" s="567"/>
      <c r="E206" s="569"/>
      <c r="F206" s="571"/>
      <c r="G206" s="400"/>
      <c r="H206" s="399"/>
      <c r="I206" s="398"/>
      <c r="J206" s="398"/>
      <c r="K206" s="398"/>
      <c r="L206" s="398"/>
      <c r="M206" s="398"/>
      <c r="N206" s="398"/>
      <c r="O206" s="398"/>
      <c r="P206" s="398"/>
      <c r="Q206" s="398"/>
      <c r="R206" s="398"/>
      <c r="S206" s="398"/>
      <c r="T206" s="398"/>
      <c r="U206" s="398"/>
      <c r="V206" s="398"/>
      <c r="W206" s="398"/>
      <c r="X206" s="397">
        <f t="shared" si="5"/>
        <v>0</v>
      </c>
      <c r="Y206" s="396"/>
    </row>
    <row r="207" spans="1:25" s="395" customFormat="1" ht="13.5" customHeight="1" hidden="1">
      <c r="A207" s="562">
        <v>100</v>
      </c>
      <c r="B207" s="406"/>
      <c r="C207" s="564"/>
      <c r="D207" s="566"/>
      <c r="E207" s="568"/>
      <c r="F207" s="570"/>
      <c r="G207" s="405"/>
      <c r="H207" s="404"/>
      <c r="I207" s="403"/>
      <c r="J207" s="403"/>
      <c r="K207" s="403"/>
      <c r="L207" s="403"/>
      <c r="M207" s="403"/>
      <c r="N207" s="403"/>
      <c r="O207" s="403"/>
      <c r="P207" s="403"/>
      <c r="Q207" s="403"/>
      <c r="R207" s="403"/>
      <c r="S207" s="403"/>
      <c r="T207" s="403"/>
      <c r="U207" s="403"/>
      <c r="V207" s="403"/>
      <c r="W207" s="403"/>
      <c r="X207" s="402">
        <f t="shared" si="5"/>
        <v>0</v>
      </c>
      <c r="Y207" s="396"/>
    </row>
    <row r="208" spans="1:25" s="395" customFormat="1" ht="13.5" customHeight="1" hidden="1">
      <c r="A208" s="563"/>
      <c r="B208" s="401"/>
      <c r="C208" s="565"/>
      <c r="D208" s="567"/>
      <c r="E208" s="569"/>
      <c r="F208" s="571"/>
      <c r="G208" s="400"/>
      <c r="H208" s="399"/>
      <c r="I208" s="398"/>
      <c r="J208" s="398"/>
      <c r="K208" s="398"/>
      <c r="L208" s="398"/>
      <c r="M208" s="398"/>
      <c r="N208" s="398"/>
      <c r="O208" s="398"/>
      <c r="P208" s="398"/>
      <c r="Q208" s="398"/>
      <c r="R208" s="398"/>
      <c r="S208" s="398"/>
      <c r="T208" s="398"/>
      <c r="U208" s="398"/>
      <c r="V208" s="398"/>
      <c r="W208" s="398"/>
      <c r="X208" s="397">
        <f t="shared" si="5"/>
        <v>0</v>
      </c>
      <c r="Y208" s="396"/>
    </row>
    <row r="209" spans="1:25" s="375" customFormat="1" ht="15" customHeight="1">
      <c r="A209" s="387"/>
      <c r="B209" s="561" t="s">
        <v>727</v>
      </c>
      <c r="C209" s="561"/>
      <c r="D209" s="561"/>
      <c r="E209" s="561"/>
      <c r="F209" s="561"/>
      <c r="G209" s="394"/>
      <c r="H209" s="299">
        <f aca="true" t="shared" si="6" ref="H209:W209">SUM(H11+H13+H15+H17+H19+H25+H21+H23+H27+H29+H35+H33+H31+H37+H39+H41)+H43+H45+H47+H7+H49+H51+H53+H127+H129+H131+H133+H135+H137+H139+H141+H143+H145+H147+H149+H151+H153+H155+H157+H159+H161+H163+H165+H55+H57+H59+H63+H61+H65+H67+H69+H89+H71+H73+H75+H77+H79+H81+H83+H85+H87+H91+H93+H95+H97+H99+H101+H103+H105+H107+H109+H111+H113+H115+H117+H119+H121+H123+H125+H207+H167+H169+H171+H173+H175+H177+H179+H181+H183+H185+H187+H197+H199+H205+H189+H191+H193+H195+H201+H203+H9</f>
        <v>3692592.8200000003</v>
      </c>
      <c r="I209" s="299">
        <f t="shared" si="6"/>
        <v>5242329</v>
      </c>
      <c r="J209" s="299">
        <f t="shared" si="6"/>
        <v>5656395</v>
      </c>
      <c r="K209" s="299">
        <f t="shared" si="6"/>
        <v>5311654</v>
      </c>
      <c r="L209" s="299">
        <f t="shared" si="6"/>
        <v>5090763.800000001</v>
      </c>
      <c r="M209" s="299">
        <f t="shared" si="6"/>
        <v>5135980</v>
      </c>
      <c r="N209" s="299">
        <f t="shared" si="6"/>
        <v>5329438</v>
      </c>
      <c r="O209" s="299">
        <f t="shared" si="6"/>
        <v>5441383.96</v>
      </c>
      <c r="P209" s="299">
        <f t="shared" si="6"/>
        <v>5378754</v>
      </c>
      <c r="Q209" s="299">
        <f t="shared" si="6"/>
        <v>5254705.93</v>
      </c>
      <c r="R209" s="299">
        <f t="shared" si="6"/>
        <v>4736889</v>
      </c>
      <c r="S209" s="299">
        <f t="shared" si="6"/>
        <v>4236430.76</v>
      </c>
      <c r="T209" s="299">
        <f t="shared" si="6"/>
        <v>4162696.24</v>
      </c>
      <c r="U209" s="299">
        <f t="shared" si="6"/>
        <v>4078565.54</v>
      </c>
      <c r="V209" s="299">
        <f t="shared" si="6"/>
        <v>3875568.4899999998</v>
      </c>
      <c r="W209" s="299">
        <f t="shared" si="6"/>
        <v>38143827.33</v>
      </c>
      <c r="X209" s="299">
        <f>SUM(X11+X13+X15+X17+X19+X25+X21+X23+X27+X29+X35+X33+X31+X37+X39+X41)+X43+X45+X47+X7+X49+X51+X53+X127+X129+X131+X133+X135+X137+X139+X141+X143+X145+X147+X149+X151+X153+X155+X157+X159+X161+X163+X165+X55+X57+X59+X63+X61+X65+X67+X69+X89+X71+X73+X75+X77+X79+X81+X83+X85+X87+X91+X93+X95+X97+X99+X101+X103+X105+X107+X109+X111+X113+X115+X117+X119+X121+X123+X125+X207+X167+X169+X171+X173+X175+X177+X179+X181+X183+X185+X187+X197+X199+X205+X189+X191+X193+X195+X201+X203</f>
        <v>110767973.86999999</v>
      </c>
      <c r="Y209" s="383"/>
    </row>
    <row r="210" spans="1:25" s="375" customFormat="1" ht="16.5" customHeight="1">
      <c r="A210" s="393"/>
      <c r="B210" s="561" t="s">
        <v>726</v>
      </c>
      <c r="C210" s="561"/>
      <c r="D210" s="561"/>
      <c r="E210" s="561"/>
      <c r="F210" s="561"/>
      <c r="G210" s="392"/>
      <c r="H210" s="299">
        <f aca="true" t="shared" si="7" ref="H210:W210">SUM(H12+H14+H16+H18+H20+H26+H22+H24+H28+H30+H36+H34+H32+H38+H40+H42)+H44+H46+H48+H8+H50+H52+H54+H128+H130+H132+H134+H136+H138+H140+H142+H144+H146+H148+H150+H152+H154+H156+H158+H160+H162+H164+H166+H56+H58+H60+H64+H62+H66+H68+H70+H90+H72+H74+H76+H78+H80+H82+H84+H86+H88+H92+H94+H96+H98+H100+H102+H104+H106+H108+H110+H112+H114+H116+H118+H120+H122+H124+H126+H208+H168+H170+H172+H174+H176+H178+H180+H182+H184+H186+H188+H198+H200+H206+H190+H192+H194+H196+H202+H204+H10</f>
        <v>4920835</v>
      </c>
      <c r="I210" s="299">
        <f t="shared" si="7"/>
        <v>5007015</v>
      </c>
      <c r="J210" s="299">
        <f t="shared" si="7"/>
        <v>4560093</v>
      </c>
      <c r="K210" s="299">
        <f t="shared" si="7"/>
        <v>3947810</v>
      </c>
      <c r="L210" s="299">
        <f t="shared" si="7"/>
        <v>3671820</v>
      </c>
      <c r="M210" s="299">
        <f t="shared" si="7"/>
        <v>3453780</v>
      </c>
      <c r="N210" s="299">
        <f t="shared" si="7"/>
        <v>3243430</v>
      </c>
      <c r="O210" s="299">
        <f t="shared" si="7"/>
        <v>3026250</v>
      </c>
      <c r="P210" s="299">
        <f t="shared" si="7"/>
        <v>2813880</v>
      </c>
      <c r="Q210" s="299">
        <f t="shared" si="7"/>
        <v>2589800</v>
      </c>
      <c r="R210" s="299">
        <f t="shared" si="7"/>
        <v>2379965</v>
      </c>
      <c r="S210" s="299">
        <f t="shared" si="7"/>
        <v>2191100</v>
      </c>
      <c r="T210" s="299">
        <f t="shared" si="7"/>
        <v>2024745</v>
      </c>
      <c r="U210" s="299">
        <f t="shared" si="7"/>
        <v>1850990</v>
      </c>
      <c r="V210" s="299">
        <f t="shared" si="7"/>
        <v>1687285</v>
      </c>
      <c r="W210" s="299">
        <f t="shared" si="7"/>
        <v>9453375</v>
      </c>
      <c r="X210" s="299">
        <f>SUM(X12+X14+X16+X18+X20+X26+X22+X24+X28+X30+X36+X34+X32+X38+X40+X42)+X44+X46+X48+X8+X50+X52+X54+X128+X130+X132+X134+X136+X138+X140+X142+X144+X146+X148+X150+X152+X154+X156+X158+X160+X162+X164+X166+X56+X58+X60+X64+X62+X66+X68+X70+X90+X72+X74+X76+X78+X80+X82+X84+X86+X88+X92+X94+X96+X98+X100+X102+X104+X106+X108+X110+X112+X114+X116+X118+X120+X122+X124+X126+X208+X168+X170+X172+X174+X176+X178+X180+X182+X184+X186+X188+X198+X200+X206+X190+X192+X194+X196+X202+X204</f>
        <v>56419798</v>
      </c>
      <c r="Y210" s="383"/>
    </row>
    <row r="211" spans="1:25" s="375" customFormat="1" ht="18" customHeight="1">
      <c r="A211" s="391"/>
      <c r="B211" s="572" t="s">
        <v>763</v>
      </c>
      <c r="C211" s="572"/>
      <c r="D211" s="572"/>
      <c r="E211" s="572"/>
      <c r="F211" s="572"/>
      <c r="G211" s="386"/>
      <c r="H211" s="299">
        <f aca="true" t="shared" si="8" ref="H211:X211">SUM(H209:H210)</f>
        <v>8613427.82</v>
      </c>
      <c r="I211" s="299">
        <f t="shared" si="8"/>
        <v>10249344</v>
      </c>
      <c r="J211" s="299">
        <f t="shared" si="8"/>
        <v>10216488</v>
      </c>
      <c r="K211" s="299">
        <f t="shared" si="8"/>
        <v>9259464</v>
      </c>
      <c r="L211" s="299">
        <f t="shared" si="8"/>
        <v>8762583.8</v>
      </c>
      <c r="M211" s="299">
        <f t="shared" si="8"/>
        <v>8589760</v>
      </c>
      <c r="N211" s="299">
        <f t="shared" si="8"/>
        <v>8572868</v>
      </c>
      <c r="O211" s="299">
        <f t="shared" si="8"/>
        <v>8467633.96</v>
      </c>
      <c r="P211" s="299">
        <f t="shared" si="8"/>
        <v>8192634</v>
      </c>
      <c r="Q211" s="299">
        <f t="shared" si="8"/>
        <v>7844505.93</v>
      </c>
      <c r="R211" s="299">
        <f t="shared" si="8"/>
        <v>7116854</v>
      </c>
      <c r="S211" s="299">
        <f t="shared" si="8"/>
        <v>6427530.76</v>
      </c>
      <c r="T211" s="299">
        <f t="shared" si="8"/>
        <v>6187441.24</v>
      </c>
      <c r="U211" s="299">
        <f t="shared" si="8"/>
        <v>5929555.54</v>
      </c>
      <c r="V211" s="299">
        <f t="shared" si="8"/>
        <v>5562853.49</v>
      </c>
      <c r="W211" s="299">
        <f t="shared" si="8"/>
        <v>47597202.33</v>
      </c>
      <c r="X211" s="299">
        <f t="shared" si="8"/>
        <v>167187771.87</v>
      </c>
      <c r="Y211" s="383"/>
    </row>
    <row r="212" spans="1:25" s="388" customFormat="1" ht="13.5" customHeight="1">
      <c r="A212" s="390"/>
      <c r="B212" s="573" t="s">
        <v>724</v>
      </c>
      <c r="C212" s="573"/>
      <c r="D212" s="573"/>
      <c r="E212" s="573"/>
      <c r="F212" s="573"/>
      <c r="G212" s="386" t="s">
        <v>722</v>
      </c>
      <c r="H212" s="385">
        <f aca="true" t="shared" si="9" ref="H212:V212">SUM(H211/$E$215)</f>
        <v>0.12676417511224947</v>
      </c>
      <c r="I212" s="385">
        <f t="shared" si="9"/>
        <v>0.1508400215051298</v>
      </c>
      <c r="J212" s="385">
        <f t="shared" si="9"/>
        <v>0.15035647838797297</v>
      </c>
      <c r="K212" s="385">
        <f t="shared" si="9"/>
        <v>0.1362719164159165</v>
      </c>
      <c r="L212" s="385">
        <f t="shared" si="9"/>
        <v>0.12895930986729512</v>
      </c>
      <c r="M212" s="385">
        <f t="shared" si="9"/>
        <v>0.12641585482191872</v>
      </c>
      <c r="N212" s="385">
        <f t="shared" si="9"/>
        <v>0.12616725455606126</v>
      </c>
      <c r="O212" s="385">
        <f t="shared" si="9"/>
        <v>0.12461852081693887</v>
      </c>
      <c r="P212" s="385">
        <f t="shared" si="9"/>
        <v>0.12057133497945405</v>
      </c>
      <c r="Q212" s="385">
        <f t="shared" si="9"/>
        <v>0.11544791970864848</v>
      </c>
      <c r="R212" s="385">
        <f t="shared" si="9"/>
        <v>0.10473903602112183</v>
      </c>
      <c r="S212" s="385">
        <f t="shared" si="9"/>
        <v>0.0945942372568706</v>
      </c>
      <c r="T212" s="385">
        <f t="shared" si="9"/>
        <v>0.09106082981538399</v>
      </c>
      <c r="U212" s="385">
        <f t="shared" si="9"/>
        <v>0.08726551525341149</v>
      </c>
      <c r="V212" s="385">
        <f t="shared" si="9"/>
        <v>0.08186874594720271</v>
      </c>
      <c r="W212" s="385"/>
      <c r="X212" s="389"/>
      <c r="Y212" s="383"/>
    </row>
    <row r="213" spans="1:25" s="375" customFormat="1" ht="13.5" customHeight="1">
      <c r="A213" s="387"/>
      <c r="B213" s="573" t="s">
        <v>723</v>
      </c>
      <c r="C213" s="573"/>
      <c r="D213" s="573"/>
      <c r="E213" s="573"/>
      <c r="F213" s="573"/>
      <c r="G213" s="386" t="s">
        <v>722</v>
      </c>
      <c r="H213" s="385">
        <f aca="true" t="shared" si="10" ref="H213:V213">SUM((H211-H217)/$E$215)</f>
        <v>0.12175927117324947</v>
      </c>
      <c r="I213" s="385">
        <f t="shared" si="10"/>
        <v>0.1508400215051298</v>
      </c>
      <c r="J213" s="385">
        <f t="shared" si="10"/>
        <v>0.15035647838797297</v>
      </c>
      <c r="K213" s="385">
        <f t="shared" si="10"/>
        <v>0.1362719164159165</v>
      </c>
      <c r="L213" s="385">
        <f t="shared" si="10"/>
        <v>0.12895930986729512</v>
      </c>
      <c r="M213" s="385">
        <f t="shared" si="10"/>
        <v>0.12641585482191872</v>
      </c>
      <c r="N213" s="385">
        <f t="shared" si="10"/>
        <v>0.12616725455606126</v>
      </c>
      <c r="O213" s="385">
        <f t="shared" si="10"/>
        <v>0.12461852081693887</v>
      </c>
      <c r="P213" s="385">
        <f t="shared" si="10"/>
        <v>0.12057133497945405</v>
      </c>
      <c r="Q213" s="385">
        <f t="shared" si="10"/>
        <v>0.11544791970864848</v>
      </c>
      <c r="R213" s="385">
        <f t="shared" si="10"/>
        <v>0.10473903602112183</v>
      </c>
      <c r="S213" s="385">
        <f t="shared" si="10"/>
        <v>0.0945942372568706</v>
      </c>
      <c r="T213" s="385">
        <f t="shared" si="10"/>
        <v>0.09106082981538399</v>
      </c>
      <c r="U213" s="385">
        <f t="shared" si="10"/>
        <v>0.08726551525341149</v>
      </c>
      <c r="V213" s="385">
        <f t="shared" si="10"/>
        <v>0.08186874594720271</v>
      </c>
      <c r="W213" s="385"/>
      <c r="X213" s="384"/>
      <c r="Y213" s="383"/>
    </row>
    <row r="214" spans="1:24" s="375" customFormat="1" ht="13.5" customHeight="1">
      <c r="A214" s="380"/>
      <c r="B214" s="521" t="s">
        <v>762</v>
      </c>
      <c r="C214" s="522"/>
      <c r="D214" s="523"/>
      <c r="E214" s="299">
        <f>SUM(E7:E208)</f>
        <v>143082375.73000002</v>
      </c>
      <c r="F214" s="382"/>
      <c r="G214" s="381"/>
      <c r="H214" s="376"/>
      <c r="I214" s="376"/>
      <c r="J214" s="376"/>
      <c r="K214" s="376"/>
      <c r="L214" s="376"/>
      <c r="M214" s="376"/>
      <c r="N214" s="376"/>
      <c r="O214" s="376"/>
      <c r="P214" s="376"/>
      <c r="Q214" s="376"/>
      <c r="R214" s="376"/>
      <c r="S214" s="376"/>
      <c r="T214" s="376"/>
      <c r="U214" s="376"/>
      <c r="V214" s="277"/>
      <c r="W214" s="277"/>
      <c r="X214" s="376"/>
    </row>
    <row r="215" spans="1:24" s="375" customFormat="1" ht="13.5" customHeight="1">
      <c r="A215" s="380"/>
      <c r="B215" s="521" t="s">
        <v>729</v>
      </c>
      <c r="C215" s="522"/>
      <c r="D215" s="523"/>
      <c r="E215" s="379">
        <v>67948439</v>
      </c>
      <c r="F215" s="378"/>
      <c r="G215" s="377"/>
      <c r="H215" s="376"/>
      <c r="I215" s="376"/>
      <c r="J215" s="376"/>
      <c r="K215" s="376"/>
      <c r="L215" s="376"/>
      <c r="M215" s="376"/>
      <c r="N215" s="376"/>
      <c r="O215" s="376"/>
      <c r="P215" s="376"/>
      <c r="Q215" s="376"/>
      <c r="R215" s="376"/>
      <c r="S215" s="376"/>
      <c r="T215" s="376"/>
      <c r="U215" s="376"/>
      <c r="V215" s="277"/>
      <c r="W215" s="277"/>
      <c r="X215" s="376"/>
    </row>
    <row r="216" spans="3:24" ht="13.5" customHeight="1">
      <c r="C216" s="370"/>
      <c r="D216" s="369"/>
      <c r="E216" s="374"/>
      <c r="F216" s="369"/>
      <c r="G216" s="369"/>
      <c r="H216" s="367"/>
      <c r="I216" s="367"/>
      <c r="J216" s="367"/>
      <c r="K216" s="367"/>
      <c r="L216" s="367"/>
      <c r="M216" s="367"/>
      <c r="N216" s="367"/>
      <c r="O216" s="367"/>
      <c r="P216" s="367"/>
      <c r="Q216" s="367"/>
      <c r="R216" s="367"/>
      <c r="S216" s="367"/>
      <c r="T216" s="367"/>
      <c r="U216" s="367"/>
      <c r="X216" s="367"/>
    </row>
    <row r="217" spans="3:24" ht="13.5" customHeight="1">
      <c r="C217" s="373"/>
      <c r="D217" s="369"/>
      <c r="E217" s="549" t="s">
        <v>761</v>
      </c>
      <c r="F217" s="549"/>
      <c r="G217" s="549"/>
      <c r="H217" s="372">
        <v>340075.41</v>
      </c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  <c r="X217" s="367"/>
    </row>
    <row r="218" spans="3:24" ht="22.5" customHeight="1">
      <c r="C218" s="370"/>
      <c r="D218" s="369"/>
      <c r="E218" s="550" t="s">
        <v>760</v>
      </c>
      <c r="F218" s="550"/>
      <c r="G218" s="550"/>
      <c r="H218" s="371">
        <v>802571</v>
      </c>
      <c r="I218" s="367"/>
      <c r="J218" s="367"/>
      <c r="K218" s="367"/>
      <c r="L218" s="367"/>
      <c r="M218" s="367"/>
      <c r="N218" s="367"/>
      <c r="O218" s="367"/>
      <c r="P218" s="367"/>
      <c r="Q218" s="367"/>
      <c r="R218" s="367"/>
      <c r="S218" s="367"/>
      <c r="T218" s="367"/>
      <c r="U218" s="367"/>
      <c r="V218" s="363"/>
      <c r="W218" s="363"/>
      <c r="X218" s="367"/>
    </row>
    <row r="219" spans="3:24" ht="13.5" customHeight="1">
      <c r="C219" s="370"/>
      <c r="D219" s="369"/>
      <c r="E219" s="551" t="s">
        <v>759</v>
      </c>
      <c r="F219" s="551"/>
      <c r="G219" s="551"/>
      <c r="H219" s="371">
        <f>4803694.41-1451177</f>
        <v>3352517.41</v>
      </c>
      <c r="I219" s="367"/>
      <c r="J219" s="367"/>
      <c r="K219" s="367"/>
      <c r="L219" s="367"/>
      <c r="M219" s="367"/>
      <c r="N219" s="367"/>
      <c r="O219" s="367"/>
      <c r="P219" s="367"/>
      <c r="Q219" s="367"/>
      <c r="R219" s="367"/>
      <c r="S219" s="367"/>
      <c r="T219" s="367"/>
      <c r="U219" s="367"/>
      <c r="V219" s="363"/>
      <c r="W219" s="363"/>
      <c r="X219" s="367"/>
    </row>
    <row r="220" spans="3:24" ht="13.5" customHeight="1">
      <c r="C220" s="370"/>
      <c r="D220" s="369"/>
      <c r="E220" s="552" t="s">
        <v>758</v>
      </c>
      <c r="F220" s="553"/>
      <c r="G220" s="554"/>
      <c r="H220" s="368">
        <f>H217+H218+H219</f>
        <v>4495163.82</v>
      </c>
      <c r="I220" s="367"/>
      <c r="J220" s="367"/>
      <c r="K220" s="367"/>
      <c r="L220" s="367"/>
      <c r="M220" s="367"/>
      <c r="N220" s="367"/>
      <c r="O220" s="367"/>
      <c r="P220" s="367"/>
      <c r="Q220" s="367"/>
      <c r="R220" s="367"/>
      <c r="S220" s="367"/>
      <c r="T220" s="367"/>
      <c r="U220" s="367"/>
      <c r="V220" s="363"/>
      <c r="W220" s="363"/>
      <c r="X220" s="367"/>
    </row>
    <row r="221" spans="4:24" ht="13.5" customHeight="1">
      <c r="D221" s="366"/>
      <c r="E221" s="365"/>
      <c r="F221" s="364"/>
      <c r="G221" s="364"/>
      <c r="H221" s="363"/>
      <c r="I221" s="363"/>
      <c r="J221" s="363"/>
      <c r="K221" s="363"/>
      <c r="L221" s="363"/>
      <c r="M221" s="363"/>
      <c r="N221" s="363"/>
      <c r="O221" s="363"/>
      <c r="P221" s="363"/>
      <c r="Q221" s="363"/>
      <c r="R221" s="363"/>
      <c r="S221" s="363"/>
      <c r="T221" s="363"/>
      <c r="U221" s="363"/>
      <c r="X221" s="362"/>
    </row>
    <row r="222" spans="1:24" s="274" customFormat="1" ht="13.5" customHeight="1">
      <c r="A222" s="280"/>
      <c r="B222" s="279"/>
      <c r="C222" s="548" t="s">
        <v>757</v>
      </c>
      <c r="D222" s="548"/>
      <c r="E222" s="548"/>
      <c r="F222" s="548"/>
      <c r="G222" s="548"/>
      <c r="H222" s="361" t="s">
        <v>732</v>
      </c>
      <c r="I222" s="360">
        <f aca="true" t="shared" si="11" ref="I222:V222">I209-H209</f>
        <v>1549736.1799999997</v>
      </c>
      <c r="J222" s="360">
        <f t="shared" si="11"/>
        <v>414066</v>
      </c>
      <c r="K222" s="360">
        <f t="shared" si="11"/>
        <v>-344741</v>
      </c>
      <c r="L222" s="360">
        <f t="shared" si="11"/>
        <v>-220890.19999999925</v>
      </c>
      <c r="M222" s="360">
        <f t="shared" si="11"/>
        <v>45216.199999999255</v>
      </c>
      <c r="N222" s="360">
        <f t="shared" si="11"/>
        <v>193458</v>
      </c>
      <c r="O222" s="360">
        <f t="shared" si="11"/>
        <v>111945.95999999996</v>
      </c>
      <c r="P222" s="360">
        <f t="shared" si="11"/>
        <v>-62629.95999999996</v>
      </c>
      <c r="Q222" s="360">
        <f t="shared" si="11"/>
        <v>-124048.0700000003</v>
      </c>
      <c r="R222" s="360">
        <f t="shared" si="11"/>
        <v>-517816.9299999997</v>
      </c>
      <c r="S222" s="360">
        <f t="shared" si="11"/>
        <v>-500458.2400000002</v>
      </c>
      <c r="T222" s="360">
        <f t="shared" si="11"/>
        <v>-73734.51999999955</v>
      </c>
      <c r="U222" s="360">
        <f t="shared" si="11"/>
        <v>-84130.70000000019</v>
      </c>
      <c r="V222" s="360">
        <f t="shared" si="11"/>
        <v>-202997.05000000028</v>
      </c>
      <c r="W222" s="359"/>
      <c r="X222" s="358"/>
    </row>
    <row r="223" spans="1:24" s="274" customFormat="1" ht="13.5" customHeight="1">
      <c r="A223" s="280"/>
      <c r="B223" s="279"/>
      <c r="C223" s="548" t="s">
        <v>756</v>
      </c>
      <c r="D223" s="548"/>
      <c r="E223" s="548"/>
      <c r="F223" s="548"/>
      <c r="G223" s="548"/>
      <c r="H223" s="361" t="s">
        <v>732</v>
      </c>
      <c r="I223" s="360">
        <f aca="true" t="shared" si="12" ref="I223:V223">I210-H210</f>
        <v>86180</v>
      </c>
      <c r="J223" s="360">
        <f t="shared" si="12"/>
        <v>-446922</v>
      </c>
      <c r="K223" s="360">
        <f t="shared" si="12"/>
        <v>-612283</v>
      </c>
      <c r="L223" s="360">
        <f t="shared" si="12"/>
        <v>-275990</v>
      </c>
      <c r="M223" s="360">
        <f t="shared" si="12"/>
        <v>-218040</v>
      </c>
      <c r="N223" s="360">
        <f t="shared" si="12"/>
        <v>-210350</v>
      </c>
      <c r="O223" s="360">
        <f t="shared" si="12"/>
        <v>-217180</v>
      </c>
      <c r="P223" s="360">
        <f t="shared" si="12"/>
        <v>-212370</v>
      </c>
      <c r="Q223" s="360">
        <f t="shared" si="12"/>
        <v>-224080</v>
      </c>
      <c r="R223" s="360">
        <f t="shared" si="12"/>
        <v>-209835</v>
      </c>
      <c r="S223" s="360">
        <f t="shared" si="12"/>
        <v>-188865</v>
      </c>
      <c r="T223" s="360">
        <f t="shared" si="12"/>
        <v>-166355</v>
      </c>
      <c r="U223" s="360">
        <f t="shared" si="12"/>
        <v>-173755</v>
      </c>
      <c r="V223" s="360">
        <f t="shared" si="12"/>
        <v>-163705</v>
      </c>
      <c r="W223" s="359"/>
      <c r="X223" s="358"/>
    </row>
    <row r="224" spans="1:24" s="274" customFormat="1" ht="13.5" customHeight="1">
      <c r="A224" s="280"/>
      <c r="B224" s="279"/>
      <c r="C224" s="548" t="s">
        <v>755</v>
      </c>
      <c r="D224" s="548"/>
      <c r="E224" s="548"/>
      <c r="F224" s="548"/>
      <c r="G224" s="548"/>
      <c r="H224" s="361" t="s">
        <v>732</v>
      </c>
      <c r="I224" s="360">
        <f aca="true" t="shared" si="13" ref="I224:V224">I211-H211</f>
        <v>1635916.1799999997</v>
      </c>
      <c r="J224" s="360">
        <f t="shared" si="13"/>
        <v>-32856</v>
      </c>
      <c r="K224" s="360">
        <f t="shared" si="13"/>
        <v>-957024</v>
      </c>
      <c r="L224" s="360">
        <f t="shared" si="13"/>
        <v>-496880.19999999925</v>
      </c>
      <c r="M224" s="360">
        <f t="shared" si="13"/>
        <v>-172823.80000000075</v>
      </c>
      <c r="N224" s="360">
        <f t="shared" si="13"/>
        <v>-16892</v>
      </c>
      <c r="O224" s="360">
        <f t="shared" si="13"/>
        <v>-105234.0399999991</v>
      </c>
      <c r="P224" s="360">
        <f t="shared" si="13"/>
        <v>-274999.9600000009</v>
      </c>
      <c r="Q224" s="360">
        <f t="shared" si="13"/>
        <v>-348128.0700000003</v>
      </c>
      <c r="R224" s="360">
        <f t="shared" si="13"/>
        <v>-727651.9299999997</v>
      </c>
      <c r="S224" s="360">
        <f t="shared" si="13"/>
        <v>-689323.2400000002</v>
      </c>
      <c r="T224" s="360">
        <f t="shared" si="13"/>
        <v>-240089.51999999955</v>
      </c>
      <c r="U224" s="360">
        <f t="shared" si="13"/>
        <v>-257885.7000000002</v>
      </c>
      <c r="V224" s="360">
        <f t="shared" si="13"/>
        <v>-366702.0499999998</v>
      </c>
      <c r="W224" s="359"/>
      <c r="X224" s="358"/>
    </row>
    <row r="225" spans="1:24" s="269" customFormat="1" ht="13.5" customHeight="1">
      <c r="A225" s="317"/>
      <c r="B225" s="357"/>
      <c r="C225" s="355"/>
      <c r="D225" s="354"/>
      <c r="E225" s="263"/>
      <c r="F225" s="262"/>
      <c r="G225" s="262"/>
      <c r="H225" s="353"/>
      <c r="I225" s="353"/>
      <c r="J225" s="353"/>
      <c r="K225" s="353"/>
      <c r="L225" s="353"/>
      <c r="M225" s="353"/>
      <c r="N225" s="353"/>
      <c r="O225" s="353"/>
      <c r="P225" s="353"/>
      <c r="Q225" s="353"/>
      <c r="R225" s="353"/>
      <c r="S225" s="353"/>
      <c r="T225" s="353"/>
      <c r="U225" s="353"/>
      <c r="V225" s="353"/>
      <c r="W225" s="353"/>
      <c r="X225" s="353"/>
    </row>
    <row r="226" spans="1:24" s="269" customFormat="1" ht="13.5" customHeight="1">
      <c r="A226" s="317"/>
      <c r="B226" s="357"/>
      <c r="C226" s="355"/>
      <c r="D226" s="354"/>
      <c r="E226" s="263"/>
      <c r="F226" s="262"/>
      <c r="G226" s="262"/>
      <c r="H226" s="353"/>
      <c r="I226" s="353"/>
      <c r="J226" s="353"/>
      <c r="K226" s="353"/>
      <c r="L226" s="353"/>
      <c r="M226" s="353"/>
      <c r="N226" s="353"/>
      <c r="O226" s="353"/>
      <c r="P226" s="353"/>
      <c r="Q226" s="353"/>
      <c r="R226" s="353"/>
      <c r="S226" s="353"/>
      <c r="T226" s="353"/>
      <c r="U226" s="353"/>
      <c r="V226" s="353"/>
      <c r="W226" s="353"/>
      <c r="X226" s="353"/>
    </row>
    <row r="227" spans="1:24" s="269" customFormat="1" ht="13.5" customHeight="1">
      <c r="A227" s="317"/>
      <c r="B227" s="357"/>
      <c r="C227" s="355"/>
      <c r="D227" s="354"/>
      <c r="E227" s="263"/>
      <c r="F227" s="262"/>
      <c r="G227" s="262"/>
      <c r="H227" s="353"/>
      <c r="I227" s="353"/>
      <c r="J227" s="353"/>
      <c r="K227" s="353"/>
      <c r="L227" s="353"/>
      <c r="M227" s="353"/>
      <c r="N227" s="353"/>
      <c r="O227" s="353"/>
      <c r="P227" s="353"/>
      <c r="Q227" s="353"/>
      <c r="R227" s="353"/>
      <c r="S227" s="353"/>
      <c r="T227" s="353"/>
      <c r="U227" s="353"/>
      <c r="V227" s="353"/>
      <c r="W227" s="353"/>
      <c r="X227" s="353"/>
    </row>
    <row r="228" spans="1:24" s="269" customFormat="1" ht="13.5" customHeight="1">
      <c r="A228" s="317"/>
      <c r="B228" s="356" t="s">
        <v>754</v>
      </c>
      <c r="C228" s="355"/>
      <c r="D228" s="354"/>
      <c r="E228" s="263"/>
      <c r="F228" s="262"/>
      <c r="G228" s="262"/>
      <c r="H228" s="353"/>
      <c r="I228" s="353"/>
      <c r="J228" s="353"/>
      <c r="K228" s="353"/>
      <c r="L228" s="353"/>
      <c r="M228" s="353"/>
      <c r="N228" s="353"/>
      <c r="O228" s="353"/>
      <c r="P228" s="353"/>
      <c r="Q228" s="353"/>
      <c r="R228" s="353"/>
      <c r="S228" s="353"/>
      <c r="T228" s="353"/>
      <c r="U228" s="353"/>
      <c r="V228" s="353"/>
      <c r="W228" s="353"/>
      <c r="X228" s="353"/>
    </row>
    <row r="229" spans="1:24" s="269" customFormat="1" ht="24.75" customHeight="1">
      <c r="A229" s="539">
        <v>1</v>
      </c>
      <c r="B229" s="348" t="s">
        <v>741</v>
      </c>
      <c r="C229" s="547" t="s">
        <v>753</v>
      </c>
      <c r="D229" s="537" t="s">
        <v>732</v>
      </c>
      <c r="E229" s="543">
        <v>5122338.52</v>
      </c>
      <c r="F229" s="545" t="s">
        <v>752</v>
      </c>
      <c r="G229" s="346" t="s">
        <v>734</v>
      </c>
      <c r="H229" s="352">
        <v>216000</v>
      </c>
      <c r="I229" s="352">
        <v>216000</v>
      </c>
      <c r="J229" s="352">
        <v>216000</v>
      </c>
      <c r="K229" s="352">
        <v>216000</v>
      </c>
      <c r="L229" s="352">
        <v>216000</v>
      </c>
      <c r="M229" s="352">
        <v>216000</v>
      </c>
      <c r="N229" s="352">
        <v>216000</v>
      </c>
      <c r="O229" s="352">
        <v>0</v>
      </c>
      <c r="P229" s="352">
        <v>0</v>
      </c>
      <c r="Q229" s="352">
        <v>0</v>
      </c>
      <c r="R229" s="352">
        <v>0</v>
      </c>
      <c r="S229" s="352">
        <v>0</v>
      </c>
      <c r="T229" s="352">
        <v>0</v>
      </c>
      <c r="U229" s="352">
        <v>0</v>
      </c>
      <c r="V229" s="352">
        <v>0</v>
      </c>
      <c r="W229" s="352"/>
      <c r="X229" s="344">
        <f aca="true" t="shared" si="14" ref="X229:X240">SUM(H229:W229)</f>
        <v>1512000</v>
      </c>
    </row>
    <row r="230" spans="1:24" s="274" customFormat="1" ht="24.75" customHeight="1">
      <c r="A230" s="540"/>
      <c r="B230" s="343" t="s">
        <v>751</v>
      </c>
      <c r="C230" s="542"/>
      <c r="D230" s="538"/>
      <c r="E230" s="544"/>
      <c r="F230" s="546"/>
      <c r="G230" s="341">
        <v>0.04158</v>
      </c>
      <c r="H230" s="350">
        <v>62515</v>
      </c>
      <c r="I230" s="350">
        <v>53235</v>
      </c>
      <c r="J230" s="350">
        <v>44130</v>
      </c>
      <c r="K230" s="350">
        <v>35025</v>
      </c>
      <c r="L230" s="350">
        <v>25990</v>
      </c>
      <c r="M230" s="350">
        <v>16810</v>
      </c>
      <c r="N230" s="350">
        <v>7705</v>
      </c>
      <c r="O230" s="350">
        <v>510</v>
      </c>
      <c r="P230" s="350">
        <v>0</v>
      </c>
      <c r="Q230" s="350">
        <v>0</v>
      </c>
      <c r="R230" s="350">
        <v>0</v>
      </c>
      <c r="S230" s="350">
        <v>0</v>
      </c>
      <c r="T230" s="350">
        <v>0</v>
      </c>
      <c r="U230" s="350">
        <v>0</v>
      </c>
      <c r="V230" s="350">
        <v>0</v>
      </c>
      <c r="W230" s="350"/>
      <c r="X230" s="339">
        <f t="shared" si="14"/>
        <v>245920</v>
      </c>
    </row>
    <row r="231" spans="1:24" s="269" customFormat="1" ht="26.25" customHeight="1">
      <c r="A231" s="539">
        <v>2</v>
      </c>
      <c r="B231" s="348" t="s">
        <v>741</v>
      </c>
      <c r="C231" s="547" t="s">
        <v>750</v>
      </c>
      <c r="D231" s="537" t="s">
        <v>732</v>
      </c>
      <c r="E231" s="543">
        <v>522193.95</v>
      </c>
      <c r="F231" s="545" t="s">
        <v>749</v>
      </c>
      <c r="G231" s="346" t="s">
        <v>734</v>
      </c>
      <c r="H231" s="345">
        <v>32139.84</v>
      </c>
      <c r="I231" s="345">
        <v>32139.84</v>
      </c>
      <c r="J231" s="345">
        <v>32139.84</v>
      </c>
      <c r="K231" s="345">
        <v>32139.84</v>
      </c>
      <c r="L231" s="345">
        <v>32139.84</v>
      </c>
      <c r="M231" s="345">
        <v>32139.84</v>
      </c>
      <c r="N231" s="345">
        <v>32061.39</v>
      </c>
      <c r="O231" s="352">
        <v>0</v>
      </c>
      <c r="P231" s="352">
        <v>0</v>
      </c>
      <c r="Q231" s="352">
        <v>0</v>
      </c>
      <c r="R231" s="352">
        <v>0</v>
      </c>
      <c r="S231" s="352">
        <v>0</v>
      </c>
      <c r="T231" s="352">
        <v>0</v>
      </c>
      <c r="U231" s="352">
        <v>0</v>
      </c>
      <c r="V231" s="352">
        <v>0</v>
      </c>
      <c r="W231" s="352"/>
      <c r="X231" s="344">
        <f t="shared" si="14"/>
        <v>224900.43</v>
      </c>
    </row>
    <row r="232" spans="1:24" s="269" customFormat="1" ht="26.25" customHeight="1">
      <c r="A232" s="540"/>
      <c r="B232" s="343" t="s">
        <v>748</v>
      </c>
      <c r="C232" s="542"/>
      <c r="D232" s="538"/>
      <c r="E232" s="544"/>
      <c r="F232" s="546"/>
      <c r="G232" s="341">
        <v>0.04144</v>
      </c>
      <c r="H232" s="350">
        <v>9270</v>
      </c>
      <c r="I232" s="350">
        <v>7895</v>
      </c>
      <c r="J232" s="350">
        <v>6545</v>
      </c>
      <c r="K232" s="350">
        <v>5195</v>
      </c>
      <c r="L232" s="350">
        <v>3855</v>
      </c>
      <c r="M232" s="350">
        <v>2490</v>
      </c>
      <c r="N232" s="350">
        <v>1140</v>
      </c>
      <c r="O232" s="350">
        <v>75</v>
      </c>
      <c r="P232" s="350">
        <v>0</v>
      </c>
      <c r="Q232" s="350">
        <v>0</v>
      </c>
      <c r="R232" s="350">
        <v>0</v>
      </c>
      <c r="S232" s="350">
        <v>0</v>
      </c>
      <c r="T232" s="350">
        <v>0</v>
      </c>
      <c r="U232" s="350">
        <v>0</v>
      </c>
      <c r="V232" s="350">
        <v>0</v>
      </c>
      <c r="W232" s="350"/>
      <c r="X232" s="339">
        <f t="shared" si="14"/>
        <v>36465</v>
      </c>
    </row>
    <row r="233" spans="1:24" s="274" customFormat="1" ht="24.75" customHeight="1">
      <c r="A233" s="539">
        <v>3</v>
      </c>
      <c r="B233" s="348" t="s">
        <v>741</v>
      </c>
      <c r="C233" s="547" t="s">
        <v>747</v>
      </c>
      <c r="D233" s="537" t="s">
        <v>732</v>
      </c>
      <c r="E233" s="543">
        <f>6033386-77724.71</f>
        <v>5955661.29</v>
      </c>
      <c r="F233" s="545" t="s">
        <v>746</v>
      </c>
      <c r="G233" s="346" t="s">
        <v>734</v>
      </c>
      <c r="H233" s="345">
        <v>212568</v>
      </c>
      <c r="I233" s="345">
        <v>212568</v>
      </c>
      <c r="J233" s="345">
        <v>212568</v>
      </c>
      <c r="K233" s="345">
        <v>212568</v>
      </c>
      <c r="L233" s="345">
        <v>212568</v>
      </c>
      <c r="M233" s="345">
        <v>212568</v>
      </c>
      <c r="N233" s="345">
        <v>212568</v>
      </c>
      <c r="O233" s="345">
        <v>212568</v>
      </c>
      <c r="P233" s="345">
        <v>212568</v>
      </c>
      <c r="Q233" s="345">
        <v>212568</v>
      </c>
      <c r="R233" s="345">
        <v>212568</v>
      </c>
      <c r="S233" s="345">
        <v>212568</v>
      </c>
      <c r="T233" s="345">
        <v>212568</v>
      </c>
      <c r="U233" s="345">
        <v>212568</v>
      </c>
      <c r="V233" s="351">
        <v>212568</v>
      </c>
      <c r="W233" s="351">
        <v>1297057.28</v>
      </c>
      <c r="X233" s="344">
        <f t="shared" si="14"/>
        <v>4485577.28</v>
      </c>
    </row>
    <row r="234" spans="1:24" s="274" customFormat="1" ht="24.75" customHeight="1">
      <c r="A234" s="540"/>
      <c r="B234" s="343" t="s">
        <v>745</v>
      </c>
      <c r="C234" s="542"/>
      <c r="D234" s="538"/>
      <c r="E234" s="544"/>
      <c r="F234" s="546"/>
      <c r="G234" s="341">
        <v>0.05532</v>
      </c>
      <c r="H234" s="340">
        <v>250445</v>
      </c>
      <c r="I234" s="340">
        <v>237830</v>
      </c>
      <c r="J234" s="340">
        <v>225910</v>
      </c>
      <c r="K234" s="340">
        <v>213985</v>
      </c>
      <c r="L234" s="340">
        <v>202620</v>
      </c>
      <c r="M234" s="340">
        <v>190140</v>
      </c>
      <c r="N234" s="340">
        <v>178220</v>
      </c>
      <c r="O234" s="340">
        <v>166295</v>
      </c>
      <c r="P234" s="340">
        <v>154800</v>
      </c>
      <c r="Q234" s="340">
        <v>142450</v>
      </c>
      <c r="R234" s="340">
        <v>130530</v>
      </c>
      <c r="S234" s="340">
        <v>118605</v>
      </c>
      <c r="T234" s="340">
        <v>106980</v>
      </c>
      <c r="U234" s="340">
        <v>94760</v>
      </c>
      <c r="V234" s="349">
        <v>82835</v>
      </c>
      <c r="W234" s="349">
        <v>248070</v>
      </c>
      <c r="X234" s="339">
        <f t="shared" si="14"/>
        <v>2744475</v>
      </c>
    </row>
    <row r="235" spans="1:24" s="274" customFormat="1" ht="21" customHeight="1">
      <c r="A235" s="539">
        <v>4</v>
      </c>
      <c r="B235" s="348" t="s">
        <v>741</v>
      </c>
      <c r="C235" s="541" t="s">
        <v>744</v>
      </c>
      <c r="D235" s="537" t="s">
        <v>732</v>
      </c>
      <c r="E235" s="543">
        <v>203978</v>
      </c>
      <c r="F235" s="545" t="s">
        <v>743</v>
      </c>
      <c r="G235" s="346" t="s">
        <v>734</v>
      </c>
      <c r="H235" s="352">
        <v>9178.16</v>
      </c>
      <c r="I235" s="352">
        <v>9178.16</v>
      </c>
      <c r="J235" s="352">
        <v>9178.16</v>
      </c>
      <c r="K235" s="352">
        <v>9178.16</v>
      </c>
      <c r="L235" s="352">
        <v>9178.16</v>
      </c>
      <c r="M235" s="352">
        <v>9178.16</v>
      </c>
      <c r="N235" s="352">
        <v>9178.16</v>
      </c>
      <c r="O235" s="352">
        <v>9178.16</v>
      </c>
      <c r="P235" s="352">
        <v>9178.16</v>
      </c>
      <c r="Q235" s="352">
        <v>9178.16</v>
      </c>
      <c r="R235" s="352">
        <v>9178.16</v>
      </c>
      <c r="S235" s="352">
        <v>9178.16</v>
      </c>
      <c r="T235" s="352">
        <v>9178.16</v>
      </c>
      <c r="U235" s="352">
        <v>9178.16</v>
      </c>
      <c r="V235" s="351">
        <v>9178</v>
      </c>
      <c r="W235" s="351">
        <v>29829.28</v>
      </c>
      <c r="X235" s="344">
        <f t="shared" si="14"/>
        <v>167501.52000000005</v>
      </c>
    </row>
    <row r="236" spans="1:24" s="274" customFormat="1" ht="21" customHeight="1">
      <c r="A236" s="540"/>
      <c r="B236" s="343" t="s">
        <v>742</v>
      </c>
      <c r="C236" s="542"/>
      <c r="D236" s="538"/>
      <c r="E236" s="544"/>
      <c r="F236" s="546"/>
      <c r="G236" s="341">
        <v>0.04329</v>
      </c>
      <c r="H236" s="350">
        <v>7310</v>
      </c>
      <c r="I236" s="350">
        <v>6890</v>
      </c>
      <c r="J236" s="350">
        <v>6485</v>
      </c>
      <c r="K236" s="350">
        <v>6085</v>
      </c>
      <c r="L236" s="350">
        <v>5700</v>
      </c>
      <c r="M236" s="350">
        <v>5280</v>
      </c>
      <c r="N236" s="350">
        <v>4875</v>
      </c>
      <c r="O236" s="350">
        <v>4470</v>
      </c>
      <c r="P236" s="350">
        <v>4080</v>
      </c>
      <c r="Q236" s="350">
        <v>3665</v>
      </c>
      <c r="R236" s="350">
        <v>3265</v>
      </c>
      <c r="S236" s="350">
        <v>2860</v>
      </c>
      <c r="T236" s="350">
        <v>2465</v>
      </c>
      <c r="U236" s="350">
        <v>2055</v>
      </c>
      <c r="V236" s="349">
        <v>1655</v>
      </c>
      <c r="W236" s="349">
        <v>2605</v>
      </c>
      <c r="X236" s="339">
        <f t="shared" si="14"/>
        <v>69745</v>
      </c>
    </row>
    <row r="237" spans="1:24" s="274" customFormat="1" ht="21" customHeight="1">
      <c r="A237" s="539">
        <v>5</v>
      </c>
      <c r="B237" s="348" t="s">
        <v>741</v>
      </c>
      <c r="C237" s="541" t="s">
        <v>740</v>
      </c>
      <c r="D237" s="537" t="s">
        <v>732</v>
      </c>
      <c r="E237" s="543">
        <v>150829</v>
      </c>
      <c r="F237" s="545" t="s">
        <v>739</v>
      </c>
      <c r="G237" s="346" t="s">
        <v>734</v>
      </c>
      <c r="H237" s="352">
        <v>4921.72</v>
      </c>
      <c r="I237" s="352">
        <v>4921.72</v>
      </c>
      <c r="J237" s="352">
        <v>4921.72</v>
      </c>
      <c r="K237" s="352">
        <v>4921.72</v>
      </c>
      <c r="L237" s="352">
        <v>4921.72</v>
      </c>
      <c r="M237" s="352">
        <v>4921.72</v>
      </c>
      <c r="N237" s="352">
        <v>4921.72</v>
      </c>
      <c r="O237" s="352">
        <v>4921.72</v>
      </c>
      <c r="P237" s="352">
        <v>4921.72</v>
      </c>
      <c r="Q237" s="352">
        <v>4921.72</v>
      </c>
      <c r="R237" s="352">
        <v>4921.72</v>
      </c>
      <c r="S237" s="352">
        <v>4921.72</v>
      </c>
      <c r="T237" s="352">
        <v>4921.72</v>
      </c>
      <c r="U237" s="352">
        <v>4921.72</v>
      </c>
      <c r="V237" s="351">
        <v>4921.72</v>
      </c>
      <c r="W237" s="351">
        <v>17226.75</v>
      </c>
      <c r="X237" s="344">
        <f t="shared" si="14"/>
        <v>91052.55</v>
      </c>
    </row>
    <row r="238" spans="1:24" s="274" customFormat="1" ht="21" customHeight="1">
      <c r="A238" s="540"/>
      <c r="B238" s="343" t="s">
        <v>738</v>
      </c>
      <c r="C238" s="542"/>
      <c r="D238" s="538"/>
      <c r="E238" s="544"/>
      <c r="F238" s="546"/>
      <c r="G238" s="341">
        <v>0.05318</v>
      </c>
      <c r="H238" s="350">
        <v>4885</v>
      </c>
      <c r="I238" s="350">
        <v>4605</v>
      </c>
      <c r="J238" s="350">
        <v>4340</v>
      </c>
      <c r="K238" s="350">
        <v>4075</v>
      </c>
      <c r="L238" s="350">
        <v>3820</v>
      </c>
      <c r="M238" s="350">
        <v>3545</v>
      </c>
      <c r="N238" s="350">
        <v>3280</v>
      </c>
      <c r="O238" s="350">
        <v>3015</v>
      </c>
      <c r="P238" s="350">
        <v>2755</v>
      </c>
      <c r="Q238" s="350">
        <v>2485</v>
      </c>
      <c r="R238" s="350">
        <v>2215</v>
      </c>
      <c r="S238" s="350">
        <v>1950</v>
      </c>
      <c r="T238" s="350">
        <v>1690</v>
      </c>
      <c r="U238" s="350">
        <v>1420</v>
      </c>
      <c r="V238" s="349">
        <v>1155</v>
      </c>
      <c r="W238" s="349">
        <v>1965</v>
      </c>
      <c r="X238" s="339">
        <f t="shared" si="14"/>
        <v>47200</v>
      </c>
    </row>
    <row r="239" spans="1:24" s="274" customFormat="1" ht="37.5" customHeight="1">
      <c r="A239" s="539">
        <v>6</v>
      </c>
      <c r="B239" s="348" t="s">
        <v>737</v>
      </c>
      <c r="C239" s="541" t="s">
        <v>736</v>
      </c>
      <c r="D239" s="537" t="s">
        <v>732</v>
      </c>
      <c r="E239" s="543">
        <v>4642560</v>
      </c>
      <c r="F239" s="545" t="s">
        <v>735</v>
      </c>
      <c r="G239" s="346" t="s">
        <v>734</v>
      </c>
      <c r="H239" s="345"/>
      <c r="I239" s="345">
        <v>311892</v>
      </c>
      <c r="J239" s="345">
        <v>311892</v>
      </c>
      <c r="K239" s="345">
        <v>311892</v>
      </c>
      <c r="L239" s="345">
        <v>311892</v>
      </c>
      <c r="M239" s="345">
        <v>311892</v>
      </c>
      <c r="N239" s="345">
        <v>311892</v>
      </c>
      <c r="O239" s="345">
        <v>311892</v>
      </c>
      <c r="P239" s="345">
        <v>311892</v>
      </c>
      <c r="Q239" s="345">
        <v>311892</v>
      </c>
      <c r="R239" s="345">
        <v>311892</v>
      </c>
      <c r="S239" s="345">
        <v>311892</v>
      </c>
      <c r="T239" s="345">
        <v>311892</v>
      </c>
      <c r="U239" s="345">
        <v>311892</v>
      </c>
      <c r="V239" s="345">
        <v>311892</v>
      </c>
      <c r="W239" s="345">
        <v>276162</v>
      </c>
      <c r="X239" s="344">
        <f t="shared" si="14"/>
        <v>4642650</v>
      </c>
    </row>
    <row r="240" spans="1:24" s="274" customFormat="1" ht="37.5" customHeight="1">
      <c r="A240" s="540"/>
      <c r="B240" s="343" t="s">
        <v>733</v>
      </c>
      <c r="C240" s="542"/>
      <c r="D240" s="538"/>
      <c r="E240" s="544"/>
      <c r="F240" s="546"/>
      <c r="G240" s="341">
        <v>0.05852</v>
      </c>
      <c r="H240" s="340">
        <v>237230</v>
      </c>
      <c r="I240" s="340">
        <v>228895</v>
      </c>
      <c r="J240" s="340">
        <v>213160</v>
      </c>
      <c r="K240" s="340">
        <v>181190</v>
      </c>
      <c r="L240" s="340">
        <v>145635</v>
      </c>
      <c r="M240" s="340">
        <v>132580</v>
      </c>
      <c r="N240" s="340">
        <v>119930</v>
      </c>
      <c r="O240" s="340">
        <v>107280</v>
      </c>
      <c r="P240" s="340">
        <v>94900</v>
      </c>
      <c r="Q240" s="340">
        <v>81985</v>
      </c>
      <c r="R240" s="340">
        <v>69335</v>
      </c>
      <c r="S240" s="340">
        <v>56685</v>
      </c>
      <c r="T240" s="340">
        <v>44165</v>
      </c>
      <c r="U240" s="340">
        <v>31390</v>
      </c>
      <c r="V240" s="340">
        <v>18740</v>
      </c>
      <c r="W240" s="340">
        <v>6100</v>
      </c>
      <c r="X240" s="339">
        <f t="shared" si="14"/>
        <v>1769200</v>
      </c>
    </row>
    <row r="241" spans="1:24" s="330" customFormat="1" ht="13.5" customHeight="1" hidden="1">
      <c r="A241" s="527"/>
      <c r="B241" s="338"/>
      <c r="C241" s="529"/>
      <c r="D241" s="537" t="s">
        <v>732</v>
      </c>
      <c r="E241" s="531"/>
      <c r="F241" s="533"/>
      <c r="G241" s="337"/>
      <c r="H241" s="336"/>
      <c r="I241" s="336"/>
      <c r="J241" s="336"/>
      <c r="K241" s="336"/>
      <c r="L241" s="336"/>
      <c r="M241" s="336"/>
      <c r="N241" s="336"/>
      <c r="O241" s="336"/>
      <c r="P241" s="336"/>
      <c r="Q241" s="336"/>
      <c r="R241" s="336"/>
      <c r="S241" s="336"/>
      <c r="T241" s="336"/>
      <c r="U241" s="336"/>
      <c r="V241" s="336"/>
      <c r="W241" s="336"/>
      <c r="X241" s="335"/>
    </row>
    <row r="242" spans="1:24" s="330" customFormat="1" ht="13.5" customHeight="1" hidden="1">
      <c r="A242" s="528"/>
      <c r="B242" s="334"/>
      <c r="C242" s="530"/>
      <c r="D242" s="538"/>
      <c r="E242" s="532"/>
      <c r="F242" s="534"/>
      <c r="G242" s="333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2"/>
      <c r="U242" s="332"/>
      <c r="V242" s="332"/>
      <c r="W242" s="332"/>
      <c r="X242" s="331"/>
    </row>
    <row r="243" spans="1:24" s="274" customFormat="1" ht="13.5" customHeight="1">
      <c r="A243" s="293"/>
      <c r="B243" s="535" t="s">
        <v>727</v>
      </c>
      <c r="C243" s="535"/>
      <c r="D243" s="535"/>
      <c r="E243" s="535"/>
      <c r="F243" s="535"/>
      <c r="G243" s="329"/>
      <c r="H243" s="299">
        <f aca="true" t="shared" si="15" ref="H243:X243">H229+H231+H233+H235+H241+H237+H239</f>
        <v>474807.7199999999</v>
      </c>
      <c r="I243" s="299">
        <f t="shared" si="15"/>
        <v>786699.72</v>
      </c>
      <c r="J243" s="299">
        <f t="shared" si="15"/>
        <v>786699.72</v>
      </c>
      <c r="K243" s="299">
        <f t="shared" si="15"/>
        <v>786699.72</v>
      </c>
      <c r="L243" s="299">
        <f t="shared" si="15"/>
        <v>786699.72</v>
      </c>
      <c r="M243" s="299">
        <f t="shared" si="15"/>
        <v>786699.72</v>
      </c>
      <c r="N243" s="299">
        <f t="shared" si="15"/>
        <v>786621.27</v>
      </c>
      <c r="O243" s="299">
        <f t="shared" si="15"/>
        <v>538559.88</v>
      </c>
      <c r="P243" s="299">
        <f t="shared" si="15"/>
        <v>538559.88</v>
      </c>
      <c r="Q243" s="299">
        <f t="shared" si="15"/>
        <v>538559.88</v>
      </c>
      <c r="R243" s="299">
        <f t="shared" si="15"/>
        <v>538559.88</v>
      </c>
      <c r="S243" s="299">
        <f t="shared" si="15"/>
        <v>538559.88</v>
      </c>
      <c r="T243" s="299">
        <f t="shared" si="15"/>
        <v>538559.88</v>
      </c>
      <c r="U243" s="299">
        <f t="shared" si="15"/>
        <v>538559.88</v>
      </c>
      <c r="V243" s="299">
        <f t="shared" si="15"/>
        <v>538559.72</v>
      </c>
      <c r="W243" s="299">
        <f t="shared" si="15"/>
        <v>1620275.31</v>
      </c>
      <c r="X243" s="299">
        <f t="shared" si="15"/>
        <v>11123681.780000001</v>
      </c>
    </row>
    <row r="244" spans="1:24" s="274" customFormat="1" ht="13.5" customHeight="1" thickBot="1">
      <c r="A244" s="328"/>
      <c r="B244" s="536" t="s">
        <v>726</v>
      </c>
      <c r="C244" s="536"/>
      <c r="D244" s="536"/>
      <c r="E244" s="536"/>
      <c r="F244" s="536"/>
      <c r="G244" s="327"/>
      <c r="H244" s="326">
        <f aca="true" t="shared" si="16" ref="H244:X244">H230+H232+H234+H236+H242+H238+H240</f>
        <v>571655</v>
      </c>
      <c r="I244" s="326">
        <f t="shared" si="16"/>
        <v>539350</v>
      </c>
      <c r="J244" s="326">
        <f t="shared" si="16"/>
        <v>500570</v>
      </c>
      <c r="K244" s="326">
        <f t="shared" si="16"/>
        <v>445555</v>
      </c>
      <c r="L244" s="326">
        <f t="shared" si="16"/>
        <v>387620</v>
      </c>
      <c r="M244" s="326">
        <f t="shared" si="16"/>
        <v>350845</v>
      </c>
      <c r="N244" s="326">
        <f t="shared" si="16"/>
        <v>315150</v>
      </c>
      <c r="O244" s="326">
        <f t="shared" si="16"/>
        <v>281645</v>
      </c>
      <c r="P244" s="326">
        <f t="shared" si="16"/>
        <v>256535</v>
      </c>
      <c r="Q244" s="326">
        <f t="shared" si="16"/>
        <v>230585</v>
      </c>
      <c r="R244" s="326">
        <f t="shared" si="16"/>
        <v>205345</v>
      </c>
      <c r="S244" s="326">
        <f t="shared" si="16"/>
        <v>180100</v>
      </c>
      <c r="T244" s="326">
        <f t="shared" si="16"/>
        <v>155300</v>
      </c>
      <c r="U244" s="326">
        <f t="shared" si="16"/>
        <v>129625</v>
      </c>
      <c r="V244" s="326">
        <f t="shared" si="16"/>
        <v>104385</v>
      </c>
      <c r="W244" s="326">
        <f t="shared" si="16"/>
        <v>258740</v>
      </c>
      <c r="X244" s="326">
        <f t="shared" si="16"/>
        <v>4913005</v>
      </c>
    </row>
    <row r="245" spans="1:24" s="274" customFormat="1" ht="13.5" customHeight="1" thickTop="1">
      <c r="A245" s="325"/>
      <c r="B245" s="519" t="s">
        <v>731</v>
      </c>
      <c r="C245" s="520"/>
      <c r="D245" s="520"/>
      <c r="E245" s="520"/>
      <c r="F245" s="520"/>
      <c r="G245" s="324"/>
      <c r="H245" s="323">
        <f aca="true" t="shared" si="17" ref="H245:X245">SUM(H243:H244)</f>
        <v>1046462.72</v>
      </c>
      <c r="I245" s="323">
        <f t="shared" si="17"/>
        <v>1326049.72</v>
      </c>
      <c r="J245" s="323">
        <f t="shared" si="17"/>
        <v>1287269.72</v>
      </c>
      <c r="K245" s="323">
        <f t="shared" si="17"/>
        <v>1232254.72</v>
      </c>
      <c r="L245" s="323">
        <f t="shared" si="17"/>
        <v>1174319.72</v>
      </c>
      <c r="M245" s="323">
        <f t="shared" si="17"/>
        <v>1137544.72</v>
      </c>
      <c r="N245" s="323">
        <f t="shared" si="17"/>
        <v>1101771.27</v>
      </c>
      <c r="O245" s="323">
        <f t="shared" si="17"/>
        <v>820204.88</v>
      </c>
      <c r="P245" s="323">
        <f t="shared" si="17"/>
        <v>795094.88</v>
      </c>
      <c r="Q245" s="323">
        <f t="shared" si="17"/>
        <v>769144.88</v>
      </c>
      <c r="R245" s="323">
        <f t="shared" si="17"/>
        <v>743904.88</v>
      </c>
      <c r="S245" s="323">
        <f t="shared" si="17"/>
        <v>718659.88</v>
      </c>
      <c r="T245" s="323">
        <f t="shared" si="17"/>
        <v>693859.88</v>
      </c>
      <c r="U245" s="323">
        <f t="shared" si="17"/>
        <v>668184.88</v>
      </c>
      <c r="V245" s="323">
        <f t="shared" si="17"/>
        <v>642944.72</v>
      </c>
      <c r="W245" s="323">
        <f t="shared" si="17"/>
        <v>1879015.31</v>
      </c>
      <c r="X245" s="322">
        <f t="shared" si="17"/>
        <v>16036686.780000001</v>
      </c>
    </row>
    <row r="246" spans="1:24" s="269" customFormat="1" ht="13.5" customHeight="1">
      <c r="A246" s="313"/>
      <c r="B246" s="521" t="s">
        <v>730</v>
      </c>
      <c r="C246" s="522"/>
      <c r="D246" s="523"/>
      <c r="E246" s="321">
        <f>SUM(E229:E242)</f>
        <v>16597560.76</v>
      </c>
      <c r="F246" s="320"/>
      <c r="G246" s="313"/>
      <c r="H246" s="307"/>
      <c r="I246" s="307"/>
      <c r="J246" s="307"/>
      <c r="K246" s="307"/>
      <c r="L246" s="307"/>
      <c r="M246" s="307"/>
      <c r="N246" s="307"/>
      <c r="O246" s="307"/>
      <c r="P246" s="307"/>
      <c r="Q246" s="307"/>
      <c r="R246" s="307"/>
      <c r="S246" s="307"/>
      <c r="T246" s="307"/>
      <c r="U246" s="307"/>
      <c r="V246" s="307"/>
      <c r="W246" s="307"/>
      <c r="X246" s="307"/>
    </row>
    <row r="247" spans="1:24" s="269" customFormat="1" ht="13.5" customHeight="1">
      <c r="A247" s="313"/>
      <c r="B247" s="521" t="s">
        <v>729</v>
      </c>
      <c r="C247" s="522"/>
      <c r="D247" s="523"/>
      <c r="E247" s="319">
        <f>E215</f>
        <v>67948439</v>
      </c>
      <c r="F247" s="318"/>
      <c r="G247" s="31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</row>
    <row r="248" spans="1:24" s="269" customFormat="1" ht="13.5" customHeight="1">
      <c r="A248" s="313"/>
      <c r="B248" s="314"/>
      <c r="C248" s="315"/>
      <c r="D248" s="314"/>
      <c r="E248" s="316"/>
      <c r="F248" s="309"/>
      <c r="G248" s="309"/>
      <c r="H248" s="307"/>
      <c r="I248" s="307"/>
      <c r="J248" s="307"/>
      <c r="K248" s="307"/>
      <c r="L248" s="307"/>
      <c r="M248" s="307"/>
      <c r="N248" s="307"/>
      <c r="O248" s="307"/>
      <c r="P248" s="307"/>
      <c r="Q248" s="307"/>
      <c r="R248" s="307"/>
      <c r="S248" s="307"/>
      <c r="T248" s="307"/>
      <c r="U248" s="307"/>
      <c r="V248" s="307"/>
      <c r="W248" s="307"/>
      <c r="X248" s="307"/>
    </row>
    <row r="249" spans="1:24" s="269" customFormat="1" ht="13.5" customHeight="1">
      <c r="A249" s="313"/>
      <c r="B249" s="314"/>
      <c r="C249" s="315"/>
      <c r="D249" s="314"/>
      <c r="E249" s="309"/>
      <c r="F249" s="309"/>
      <c r="G249" s="309"/>
      <c r="H249" s="308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</row>
    <row r="250" spans="1:24" s="269" customFormat="1" ht="13.5" customHeight="1">
      <c r="A250" s="313"/>
      <c r="B250" s="312"/>
      <c r="C250" s="311"/>
      <c r="D250" s="310"/>
      <c r="E250" s="309"/>
      <c r="F250" s="309"/>
      <c r="G250" s="309"/>
      <c r="H250" s="308"/>
      <c r="I250" s="307"/>
      <c r="J250" s="307"/>
      <c r="K250" s="307"/>
      <c r="L250" s="307"/>
      <c r="M250" s="307"/>
      <c r="N250" s="307"/>
      <c r="O250" s="307"/>
      <c r="P250" s="307"/>
      <c r="Q250" s="307"/>
      <c r="R250" s="307"/>
      <c r="S250" s="307"/>
      <c r="T250" s="307"/>
      <c r="U250" s="307"/>
      <c r="V250" s="307"/>
      <c r="W250" s="307"/>
      <c r="X250" s="307"/>
    </row>
    <row r="251" spans="1:24" s="302" customFormat="1" ht="13.5" customHeight="1">
      <c r="A251" s="265"/>
      <c r="B251" s="265"/>
      <c r="C251" s="306"/>
      <c r="D251" s="305"/>
      <c r="E251" s="305"/>
      <c r="F251" s="303"/>
      <c r="G251" s="303"/>
      <c r="H251" s="303"/>
      <c r="I251" s="303"/>
      <c r="J251" s="303"/>
      <c r="K251" s="303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3"/>
    </row>
    <row r="252" spans="1:24" s="274" customFormat="1" ht="13.5" customHeight="1">
      <c r="A252" s="280"/>
      <c r="B252" s="279"/>
      <c r="C252" s="301" t="s">
        <v>728</v>
      </c>
      <c r="D252" s="300"/>
      <c r="E252" s="277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6"/>
    </row>
    <row r="253" spans="1:24" s="274" customFormat="1" ht="13.5" customHeight="1">
      <c r="A253" s="293"/>
      <c r="B253" s="524" t="s">
        <v>727</v>
      </c>
      <c r="C253" s="525"/>
      <c r="D253" s="525"/>
      <c r="E253" s="525"/>
      <c r="F253" s="525"/>
      <c r="G253" s="526"/>
      <c r="H253" s="299">
        <f aca="true" t="shared" si="18" ref="H253:X253">H209+H243</f>
        <v>4167400.54</v>
      </c>
      <c r="I253" s="299">
        <f t="shared" si="18"/>
        <v>6029028.72</v>
      </c>
      <c r="J253" s="299">
        <f t="shared" si="18"/>
        <v>6443094.72</v>
      </c>
      <c r="K253" s="299">
        <f t="shared" si="18"/>
        <v>6098353.72</v>
      </c>
      <c r="L253" s="299">
        <f t="shared" si="18"/>
        <v>5877463.5200000005</v>
      </c>
      <c r="M253" s="299">
        <f t="shared" si="18"/>
        <v>5922679.72</v>
      </c>
      <c r="N253" s="299">
        <f t="shared" si="18"/>
        <v>6116059.27</v>
      </c>
      <c r="O253" s="299">
        <f t="shared" si="18"/>
        <v>5979943.84</v>
      </c>
      <c r="P253" s="299">
        <f t="shared" si="18"/>
        <v>5917313.88</v>
      </c>
      <c r="Q253" s="299">
        <f t="shared" si="18"/>
        <v>5793265.81</v>
      </c>
      <c r="R253" s="299">
        <f t="shared" si="18"/>
        <v>5275448.88</v>
      </c>
      <c r="S253" s="299">
        <f t="shared" si="18"/>
        <v>4774990.64</v>
      </c>
      <c r="T253" s="299">
        <f t="shared" si="18"/>
        <v>4701256.12</v>
      </c>
      <c r="U253" s="299">
        <f t="shared" si="18"/>
        <v>4617125.42</v>
      </c>
      <c r="V253" s="299">
        <f t="shared" si="18"/>
        <v>4414128.21</v>
      </c>
      <c r="W253" s="299">
        <f t="shared" si="18"/>
        <v>39764102.64</v>
      </c>
      <c r="X253" s="299">
        <f t="shared" si="18"/>
        <v>121891655.64999999</v>
      </c>
    </row>
    <row r="254" spans="1:24" s="274" customFormat="1" ht="13.5" customHeight="1" thickBot="1">
      <c r="A254" s="298"/>
      <c r="B254" s="510" t="s">
        <v>726</v>
      </c>
      <c r="C254" s="511"/>
      <c r="D254" s="511"/>
      <c r="E254" s="511"/>
      <c r="F254" s="511"/>
      <c r="G254" s="512"/>
      <c r="H254" s="297">
        <f aca="true" t="shared" si="19" ref="H254:X254">H210+H244</f>
        <v>5492490</v>
      </c>
      <c r="I254" s="297">
        <f t="shared" si="19"/>
        <v>5546365</v>
      </c>
      <c r="J254" s="297">
        <f t="shared" si="19"/>
        <v>5060663</v>
      </c>
      <c r="K254" s="297">
        <f t="shared" si="19"/>
        <v>4393365</v>
      </c>
      <c r="L254" s="297">
        <f t="shared" si="19"/>
        <v>4059440</v>
      </c>
      <c r="M254" s="297">
        <f t="shared" si="19"/>
        <v>3804625</v>
      </c>
      <c r="N254" s="297">
        <f t="shared" si="19"/>
        <v>3558580</v>
      </c>
      <c r="O254" s="297">
        <f t="shared" si="19"/>
        <v>3307895</v>
      </c>
      <c r="P254" s="297">
        <f t="shared" si="19"/>
        <v>3070415</v>
      </c>
      <c r="Q254" s="297">
        <f t="shared" si="19"/>
        <v>2820385</v>
      </c>
      <c r="R254" s="297">
        <f t="shared" si="19"/>
        <v>2585310</v>
      </c>
      <c r="S254" s="297">
        <f t="shared" si="19"/>
        <v>2371200</v>
      </c>
      <c r="T254" s="297">
        <f t="shared" si="19"/>
        <v>2180045</v>
      </c>
      <c r="U254" s="297">
        <f t="shared" si="19"/>
        <v>1980615</v>
      </c>
      <c r="V254" s="297">
        <f t="shared" si="19"/>
        <v>1791670</v>
      </c>
      <c r="W254" s="297">
        <f t="shared" si="19"/>
        <v>9712115</v>
      </c>
      <c r="X254" s="297">
        <f t="shared" si="19"/>
        <v>61332803</v>
      </c>
    </row>
    <row r="255" spans="1:24" s="274" customFormat="1" ht="13.5" customHeight="1" thickTop="1">
      <c r="A255" s="296"/>
      <c r="B255" s="513" t="s">
        <v>725</v>
      </c>
      <c r="C255" s="514"/>
      <c r="D255" s="514"/>
      <c r="E255" s="514"/>
      <c r="F255" s="514"/>
      <c r="G255" s="515"/>
      <c r="H255" s="295">
        <f aca="true" t="shared" si="20" ref="H255:X255">SUM(H253:H254)</f>
        <v>9659890.54</v>
      </c>
      <c r="I255" s="295">
        <f t="shared" si="20"/>
        <v>11575393.719999999</v>
      </c>
      <c r="J255" s="295">
        <f t="shared" si="20"/>
        <v>11503757.719999999</v>
      </c>
      <c r="K255" s="295">
        <f t="shared" si="20"/>
        <v>10491718.719999999</v>
      </c>
      <c r="L255" s="295">
        <f t="shared" si="20"/>
        <v>9936903.52</v>
      </c>
      <c r="M255" s="295">
        <f t="shared" si="20"/>
        <v>9727304.719999999</v>
      </c>
      <c r="N255" s="295">
        <f t="shared" si="20"/>
        <v>9674639.27</v>
      </c>
      <c r="O255" s="295">
        <f t="shared" si="20"/>
        <v>9287838.84</v>
      </c>
      <c r="P255" s="295">
        <f t="shared" si="20"/>
        <v>8987728.879999999</v>
      </c>
      <c r="Q255" s="295">
        <f t="shared" si="20"/>
        <v>8613650.809999999</v>
      </c>
      <c r="R255" s="295">
        <f t="shared" si="20"/>
        <v>7860758.88</v>
      </c>
      <c r="S255" s="295">
        <f t="shared" si="20"/>
        <v>7146190.64</v>
      </c>
      <c r="T255" s="295">
        <f t="shared" si="20"/>
        <v>6881301.12</v>
      </c>
      <c r="U255" s="295">
        <f t="shared" si="20"/>
        <v>6597740.42</v>
      </c>
      <c r="V255" s="295">
        <f t="shared" si="20"/>
        <v>6205798.21</v>
      </c>
      <c r="W255" s="295">
        <f t="shared" si="20"/>
        <v>49476217.64</v>
      </c>
      <c r="X255" s="295">
        <f t="shared" si="20"/>
        <v>183224458.64999998</v>
      </c>
    </row>
    <row r="256" spans="1:24" s="274" customFormat="1" ht="13.5" customHeight="1">
      <c r="A256" s="293"/>
      <c r="B256" s="516" t="s">
        <v>724</v>
      </c>
      <c r="C256" s="517"/>
      <c r="D256" s="517"/>
      <c r="E256" s="517"/>
      <c r="F256" s="518"/>
      <c r="G256" s="292" t="s">
        <v>722</v>
      </c>
      <c r="H256" s="294">
        <f aca="true" t="shared" si="21" ref="H256:V256">SUM(H255/$E$247)</f>
        <v>0.14216501044269758</v>
      </c>
      <c r="I256" s="294">
        <f t="shared" si="21"/>
        <v>0.17035555033133284</v>
      </c>
      <c r="J256" s="294">
        <f t="shared" si="21"/>
        <v>0.1693012803428788</v>
      </c>
      <c r="K256" s="294">
        <f t="shared" si="21"/>
        <v>0.15440706032996576</v>
      </c>
      <c r="L256" s="294">
        <f t="shared" si="21"/>
        <v>0.14624182197916274</v>
      </c>
      <c r="M256" s="294">
        <f t="shared" si="21"/>
        <v>0.14315714773079627</v>
      </c>
      <c r="N256" s="294">
        <f t="shared" si="21"/>
        <v>0.14238206811491283</v>
      </c>
      <c r="O256" s="294">
        <f t="shared" si="21"/>
        <v>0.13668951011516248</v>
      </c>
      <c r="P256" s="294">
        <f t="shared" si="21"/>
        <v>0.13227277936436477</v>
      </c>
      <c r="Q256" s="294">
        <f t="shared" si="21"/>
        <v>0.1267674568653446</v>
      </c>
      <c r="R256" s="294">
        <f t="shared" si="21"/>
        <v>0.11568711504910363</v>
      </c>
      <c r="S256" s="294">
        <f t="shared" si="21"/>
        <v>0.10517078457093032</v>
      </c>
      <c r="T256" s="294">
        <f t="shared" si="21"/>
        <v>0.10127239449901122</v>
      </c>
      <c r="U256" s="294">
        <f t="shared" si="21"/>
        <v>0.09709921989525028</v>
      </c>
      <c r="V256" s="294">
        <f t="shared" si="21"/>
        <v>0.09133099010560052</v>
      </c>
      <c r="W256" s="294"/>
      <c r="X256" s="294"/>
    </row>
    <row r="257" spans="1:24" s="274" customFormat="1" ht="13.5" customHeight="1">
      <c r="A257" s="293"/>
      <c r="B257" s="516" t="s">
        <v>723</v>
      </c>
      <c r="C257" s="517"/>
      <c r="D257" s="517"/>
      <c r="E257" s="517"/>
      <c r="F257" s="518"/>
      <c r="G257" s="292" t="s">
        <v>722</v>
      </c>
      <c r="H257" s="291">
        <f>SUM((H255-H217-H249)/$E$247)</f>
        <v>0.1371601065036976</v>
      </c>
      <c r="I257" s="291">
        <f aca="true" t="shared" si="22" ref="I257:V257">SUM((I255)/$E$247)</f>
        <v>0.17035555033133284</v>
      </c>
      <c r="J257" s="291">
        <f t="shared" si="22"/>
        <v>0.1693012803428788</v>
      </c>
      <c r="K257" s="291">
        <f t="shared" si="22"/>
        <v>0.15440706032996576</v>
      </c>
      <c r="L257" s="291">
        <f t="shared" si="22"/>
        <v>0.14624182197916274</v>
      </c>
      <c r="M257" s="291">
        <f t="shared" si="22"/>
        <v>0.14315714773079627</v>
      </c>
      <c r="N257" s="291">
        <f t="shared" si="22"/>
        <v>0.14238206811491283</v>
      </c>
      <c r="O257" s="291">
        <f t="shared" si="22"/>
        <v>0.13668951011516248</v>
      </c>
      <c r="P257" s="291">
        <f t="shared" si="22"/>
        <v>0.13227277936436477</v>
      </c>
      <c r="Q257" s="291">
        <f t="shared" si="22"/>
        <v>0.1267674568653446</v>
      </c>
      <c r="R257" s="291">
        <f t="shared" si="22"/>
        <v>0.11568711504910363</v>
      </c>
      <c r="S257" s="291">
        <f t="shared" si="22"/>
        <v>0.10517078457093032</v>
      </c>
      <c r="T257" s="291">
        <f t="shared" si="22"/>
        <v>0.10127239449901122</v>
      </c>
      <c r="U257" s="291">
        <f t="shared" si="22"/>
        <v>0.09709921989525028</v>
      </c>
      <c r="V257" s="291">
        <f t="shared" si="22"/>
        <v>0.09133099010560052</v>
      </c>
      <c r="W257" s="291"/>
      <c r="X257" s="290"/>
    </row>
    <row r="258" spans="1:24" s="274" customFormat="1" ht="13.5" customHeight="1">
      <c r="A258" s="280"/>
      <c r="B258" s="279"/>
      <c r="C258" s="278"/>
      <c r="D258" s="277"/>
      <c r="E258" s="277"/>
      <c r="F258" s="276"/>
      <c r="G258" s="276"/>
      <c r="H258" s="276"/>
      <c r="I258" s="276"/>
      <c r="J258" s="276"/>
      <c r="K258" s="276"/>
      <c r="L258" s="276"/>
      <c r="M258" s="276"/>
      <c r="N258" s="276"/>
      <c r="O258" s="276"/>
      <c r="P258" s="276"/>
      <c r="Q258" s="276"/>
      <c r="R258" s="289"/>
      <c r="S258" s="289"/>
      <c r="T258" s="289"/>
      <c r="U258" s="289"/>
      <c r="V258" s="289"/>
      <c r="W258" s="289"/>
      <c r="X258" s="288"/>
    </row>
    <row r="259" spans="1:24" s="281" customFormat="1" ht="13.5" customHeight="1">
      <c r="A259" s="287"/>
      <c r="B259" s="286"/>
      <c r="C259" s="285"/>
      <c r="D259" s="284"/>
      <c r="E259" s="284"/>
      <c r="F259" s="283"/>
      <c r="G259" s="283"/>
      <c r="H259" s="282"/>
      <c r="I259" s="673"/>
      <c r="J259" s="673"/>
      <c r="K259" s="673"/>
      <c r="L259" s="673"/>
      <c r="M259" s="673"/>
      <c r="N259" s="673"/>
      <c r="O259" s="673"/>
      <c r="P259" s="673"/>
      <c r="Q259" s="673"/>
      <c r="R259" s="673"/>
      <c r="S259" s="673"/>
      <c r="T259" s="673"/>
      <c r="U259" s="673"/>
      <c r="V259" s="673"/>
      <c r="W259" s="673"/>
      <c r="X259" s="673"/>
    </row>
    <row r="260" spans="1:24" s="274" customFormat="1" ht="13.5" customHeight="1">
      <c r="A260" s="280"/>
      <c r="B260" s="279"/>
      <c r="C260" s="278"/>
      <c r="D260" s="277"/>
      <c r="E260" s="277"/>
      <c r="F260" s="276"/>
      <c r="G260" s="276"/>
      <c r="H260" s="275"/>
      <c r="I260" s="275"/>
      <c r="J260" s="674" t="s">
        <v>1062</v>
      </c>
      <c r="K260" s="674"/>
      <c r="L260" s="674"/>
      <c r="M260" s="674"/>
      <c r="N260" s="674"/>
      <c r="O260" s="674"/>
      <c r="P260" s="674"/>
      <c r="Q260" s="674"/>
      <c r="R260" s="674"/>
      <c r="S260" s="674"/>
      <c r="T260" s="674"/>
      <c r="U260" s="674"/>
      <c r="V260" s="674"/>
      <c r="W260" s="674"/>
      <c r="X260" s="674"/>
    </row>
    <row r="261" spans="1:24" s="269" customFormat="1" ht="13.5" customHeight="1">
      <c r="A261" s="266"/>
      <c r="B261" s="265"/>
      <c r="C261" s="264"/>
      <c r="D261" s="263"/>
      <c r="E261" s="263"/>
      <c r="F261" s="262"/>
      <c r="G261" s="262"/>
      <c r="H261" s="273"/>
      <c r="I261" s="273"/>
      <c r="J261" s="273"/>
      <c r="K261" s="262"/>
      <c r="L261" s="262"/>
      <c r="M261" s="262"/>
      <c r="N261" s="262"/>
      <c r="O261" s="262"/>
      <c r="P261" s="262"/>
      <c r="Q261" s="262"/>
      <c r="R261" s="273"/>
      <c r="S261" s="272"/>
      <c r="T261" s="272"/>
      <c r="U261" s="272"/>
      <c r="V261" s="272"/>
      <c r="W261" s="272"/>
      <c r="X261" s="262"/>
    </row>
    <row r="262" spans="1:24" s="269" customFormat="1" ht="13.5" customHeight="1">
      <c r="A262" s="266"/>
      <c r="B262" s="265"/>
      <c r="C262" s="264"/>
      <c r="D262" s="263"/>
      <c r="E262" s="263"/>
      <c r="F262" s="262"/>
      <c r="G262" s="262"/>
      <c r="H262" s="271"/>
      <c r="I262" s="270"/>
      <c r="J262" s="270"/>
      <c r="K262" s="270"/>
      <c r="L262" s="270"/>
      <c r="M262" s="270"/>
      <c r="N262" s="270"/>
      <c r="O262" s="270"/>
      <c r="P262" s="270"/>
      <c r="Q262" s="270"/>
      <c r="R262" s="267"/>
      <c r="S262" s="267"/>
      <c r="T262" s="267"/>
      <c r="U262" s="267"/>
      <c r="V262" s="267"/>
      <c r="W262" s="267"/>
      <c r="X262" s="262"/>
    </row>
    <row r="263" spans="1:24" s="269" customFormat="1" ht="13.5" customHeight="1">
      <c r="A263" s="266"/>
      <c r="B263" s="265"/>
      <c r="C263" s="268"/>
      <c r="D263" s="266"/>
      <c r="E263" s="266"/>
      <c r="F263" s="266"/>
      <c r="G263" s="267"/>
      <c r="H263" s="266"/>
      <c r="I263" s="267"/>
      <c r="J263" s="267"/>
      <c r="K263" s="267"/>
      <c r="L263" s="267"/>
      <c r="M263" s="267"/>
      <c r="N263" s="267"/>
      <c r="O263" s="267"/>
      <c r="P263" s="267"/>
      <c r="Q263" s="267"/>
      <c r="R263" s="262"/>
      <c r="S263" s="262"/>
      <c r="T263" s="262"/>
      <c r="U263" s="262"/>
      <c r="V263" s="262"/>
      <c r="W263" s="262"/>
      <c r="X263" s="262"/>
    </row>
    <row r="264" spans="1:24" s="269" customFormat="1" ht="13.5" customHeight="1">
      <c r="A264" s="266"/>
      <c r="B264" s="266"/>
      <c r="C264" s="268"/>
      <c r="D264" s="266"/>
      <c r="E264" s="266"/>
      <c r="F264" s="266"/>
      <c r="G264" s="267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262"/>
      <c r="T264" s="262"/>
      <c r="U264" s="262"/>
      <c r="V264" s="262"/>
      <c r="W264" s="262"/>
      <c r="X264" s="262"/>
    </row>
    <row r="265" spans="2:7" ht="13.5" customHeight="1">
      <c r="B265" s="266"/>
      <c r="C265" s="268"/>
      <c r="D265" s="266"/>
      <c r="E265" s="266"/>
      <c r="F265" s="266"/>
      <c r="G265" s="267"/>
    </row>
    <row r="266" spans="2:7" ht="13.5" customHeight="1">
      <c r="B266" s="266"/>
      <c r="C266" s="268"/>
      <c r="D266" s="266"/>
      <c r="E266" s="266"/>
      <c r="F266" s="266"/>
      <c r="G266" s="267"/>
    </row>
    <row r="267" spans="3:7" ht="13.5" customHeight="1">
      <c r="C267" s="268"/>
      <c r="D267" s="266"/>
      <c r="E267" s="266"/>
      <c r="F267" s="266"/>
      <c r="G267" s="267"/>
    </row>
    <row r="268" spans="3:7" ht="13.5" customHeight="1">
      <c r="C268" s="268"/>
      <c r="D268" s="266"/>
      <c r="E268" s="266"/>
      <c r="F268" s="266"/>
      <c r="G268" s="267"/>
    </row>
  </sheetData>
  <sheetProtection/>
  <mergeCells count="592">
    <mergeCell ref="K1:X1"/>
    <mergeCell ref="J2:X2"/>
    <mergeCell ref="J3:X3"/>
    <mergeCell ref="I259:X259"/>
    <mergeCell ref="J260:X260"/>
    <mergeCell ref="X5:X6"/>
    <mergeCell ref="D229:D230"/>
    <mergeCell ref="D231:D232"/>
    <mergeCell ref="D233:D234"/>
    <mergeCell ref="D235:D236"/>
    <mergeCell ref="D237:D238"/>
    <mergeCell ref="R5:R6"/>
    <mergeCell ref="S5:S6"/>
    <mergeCell ref="T5:T6"/>
    <mergeCell ref="U5:U6"/>
    <mergeCell ref="V5:V6"/>
    <mergeCell ref="W5:W6"/>
    <mergeCell ref="L5:L6"/>
    <mergeCell ref="M5:M6"/>
    <mergeCell ref="N5:N6"/>
    <mergeCell ref="O5:O6"/>
    <mergeCell ref="P5:P6"/>
    <mergeCell ref="Q5:Q6"/>
    <mergeCell ref="F5:F6"/>
    <mergeCell ref="A11:A12"/>
    <mergeCell ref="C11:C12"/>
    <mergeCell ref="E7:E8"/>
    <mergeCell ref="F7:F8"/>
    <mergeCell ref="A9:A10"/>
    <mergeCell ref="C223:G223"/>
    <mergeCell ref="H5:H6"/>
    <mergeCell ref="I5:I6"/>
    <mergeCell ref="D13:D14"/>
    <mergeCell ref="E13:E14"/>
    <mergeCell ref="F13:F14"/>
    <mergeCell ref="F157:F158"/>
    <mergeCell ref="F155:F156"/>
    <mergeCell ref="B213:F213"/>
    <mergeCell ref="B214:D214"/>
    <mergeCell ref="K5:K6"/>
    <mergeCell ref="A5:A6"/>
    <mergeCell ref="B5:B6"/>
    <mergeCell ref="C5:C6"/>
    <mergeCell ref="A7:A8"/>
    <mergeCell ref="C7:C8"/>
    <mergeCell ref="D7:D8"/>
    <mergeCell ref="J5:J6"/>
    <mergeCell ref="E5:E6"/>
    <mergeCell ref="D5:D6"/>
    <mergeCell ref="A17:A18"/>
    <mergeCell ref="C17:C18"/>
    <mergeCell ref="D17:D18"/>
    <mergeCell ref="E17:E18"/>
    <mergeCell ref="F17:F18"/>
    <mergeCell ref="D11:D12"/>
    <mergeCell ref="E11:E12"/>
    <mergeCell ref="F11:F12"/>
    <mergeCell ref="A13:A14"/>
    <mergeCell ref="C13:C14"/>
    <mergeCell ref="A21:A22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A25:A26"/>
    <mergeCell ref="C25:C26"/>
    <mergeCell ref="D25:D26"/>
    <mergeCell ref="E25:E26"/>
    <mergeCell ref="F25:F26"/>
    <mergeCell ref="A19:A20"/>
    <mergeCell ref="C19:C20"/>
    <mergeCell ref="D19:D20"/>
    <mergeCell ref="E19:E20"/>
    <mergeCell ref="F19:F20"/>
    <mergeCell ref="A29:A30"/>
    <mergeCell ref="C29:C30"/>
    <mergeCell ref="D29:D30"/>
    <mergeCell ref="E29:E30"/>
    <mergeCell ref="F29:F30"/>
    <mergeCell ref="A23:A24"/>
    <mergeCell ref="C23:C24"/>
    <mergeCell ref="D23:D24"/>
    <mergeCell ref="E23:E24"/>
    <mergeCell ref="F23:F24"/>
    <mergeCell ref="A33:A34"/>
    <mergeCell ref="C33:C34"/>
    <mergeCell ref="D33:D34"/>
    <mergeCell ref="E33:E34"/>
    <mergeCell ref="F33:F34"/>
    <mergeCell ref="A27:A28"/>
    <mergeCell ref="C27:C28"/>
    <mergeCell ref="D27:D28"/>
    <mergeCell ref="E27:E28"/>
    <mergeCell ref="F27:F28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41:A42"/>
    <mergeCell ref="C41:C42"/>
    <mergeCell ref="D41:D42"/>
    <mergeCell ref="E41:E42"/>
    <mergeCell ref="F41:F42"/>
    <mergeCell ref="A35:A36"/>
    <mergeCell ref="C35:C36"/>
    <mergeCell ref="D35:D36"/>
    <mergeCell ref="E35:E36"/>
    <mergeCell ref="F35:F36"/>
    <mergeCell ref="A45:A46"/>
    <mergeCell ref="C45:C46"/>
    <mergeCell ref="D45:D46"/>
    <mergeCell ref="E45:E46"/>
    <mergeCell ref="F45:F46"/>
    <mergeCell ref="A39:A40"/>
    <mergeCell ref="C39:C40"/>
    <mergeCell ref="D39:D40"/>
    <mergeCell ref="E39:E40"/>
    <mergeCell ref="F39:F40"/>
    <mergeCell ref="A49:A50"/>
    <mergeCell ref="C49:C50"/>
    <mergeCell ref="D49:D50"/>
    <mergeCell ref="E49:E50"/>
    <mergeCell ref="F49:F50"/>
    <mergeCell ref="A43:A44"/>
    <mergeCell ref="C43:C44"/>
    <mergeCell ref="D43:D44"/>
    <mergeCell ref="E43:E44"/>
    <mergeCell ref="F43:F44"/>
    <mergeCell ref="A53:A54"/>
    <mergeCell ref="C53:C54"/>
    <mergeCell ref="D53:D54"/>
    <mergeCell ref="E53:E54"/>
    <mergeCell ref="F53:F54"/>
    <mergeCell ref="A47:A48"/>
    <mergeCell ref="C47:C48"/>
    <mergeCell ref="D47:D48"/>
    <mergeCell ref="E47:E48"/>
    <mergeCell ref="F47:F48"/>
    <mergeCell ref="A57:A58"/>
    <mergeCell ref="C57:C58"/>
    <mergeCell ref="D57:D58"/>
    <mergeCell ref="E57:E58"/>
    <mergeCell ref="F57:F58"/>
    <mergeCell ref="A51:A52"/>
    <mergeCell ref="C51:C52"/>
    <mergeCell ref="D51:D52"/>
    <mergeCell ref="E51:E52"/>
    <mergeCell ref="F51:F52"/>
    <mergeCell ref="A61:A62"/>
    <mergeCell ref="C61:C62"/>
    <mergeCell ref="D61:D62"/>
    <mergeCell ref="E61:E62"/>
    <mergeCell ref="F61:F62"/>
    <mergeCell ref="A55:A56"/>
    <mergeCell ref="C55:C56"/>
    <mergeCell ref="D55:D56"/>
    <mergeCell ref="E55:E56"/>
    <mergeCell ref="F55:F56"/>
    <mergeCell ref="A65:A66"/>
    <mergeCell ref="C65:C66"/>
    <mergeCell ref="D65:D66"/>
    <mergeCell ref="E65:E66"/>
    <mergeCell ref="F65:F66"/>
    <mergeCell ref="A59:A60"/>
    <mergeCell ref="C59:C60"/>
    <mergeCell ref="D59:D60"/>
    <mergeCell ref="E59:E60"/>
    <mergeCell ref="F59:F60"/>
    <mergeCell ref="A69:A70"/>
    <mergeCell ref="C69:C70"/>
    <mergeCell ref="D69:D70"/>
    <mergeCell ref="E69:E70"/>
    <mergeCell ref="F69:F70"/>
    <mergeCell ref="A63:A64"/>
    <mergeCell ref="C63:C64"/>
    <mergeCell ref="D63:D64"/>
    <mergeCell ref="E63:E64"/>
    <mergeCell ref="F63:F64"/>
    <mergeCell ref="A73:A74"/>
    <mergeCell ref="C73:C74"/>
    <mergeCell ref="D73:D74"/>
    <mergeCell ref="E73:E74"/>
    <mergeCell ref="F73:F74"/>
    <mergeCell ref="A67:A68"/>
    <mergeCell ref="C67:C68"/>
    <mergeCell ref="D67:D68"/>
    <mergeCell ref="E67:E68"/>
    <mergeCell ref="F67:F68"/>
    <mergeCell ref="A77:A78"/>
    <mergeCell ref="C77:C78"/>
    <mergeCell ref="D77:D78"/>
    <mergeCell ref="E77:E78"/>
    <mergeCell ref="F77:F78"/>
    <mergeCell ref="A71:A72"/>
    <mergeCell ref="C71:C72"/>
    <mergeCell ref="D71:D72"/>
    <mergeCell ref="E71:E72"/>
    <mergeCell ref="F71:F72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F75:F76"/>
    <mergeCell ref="A85:A86"/>
    <mergeCell ref="C85:C86"/>
    <mergeCell ref="D85:D86"/>
    <mergeCell ref="E85:E86"/>
    <mergeCell ref="F85:F86"/>
    <mergeCell ref="A79:A80"/>
    <mergeCell ref="C79:C80"/>
    <mergeCell ref="D79:D80"/>
    <mergeCell ref="E79:E80"/>
    <mergeCell ref="F79:F80"/>
    <mergeCell ref="A89:A90"/>
    <mergeCell ref="C89:C90"/>
    <mergeCell ref="D89:D90"/>
    <mergeCell ref="E89:E90"/>
    <mergeCell ref="F89:F90"/>
    <mergeCell ref="A83:A84"/>
    <mergeCell ref="C83:C84"/>
    <mergeCell ref="D83:D84"/>
    <mergeCell ref="E83:E84"/>
    <mergeCell ref="F83:F84"/>
    <mergeCell ref="A93:A94"/>
    <mergeCell ref="C93:C94"/>
    <mergeCell ref="D93:D94"/>
    <mergeCell ref="E93:E94"/>
    <mergeCell ref="F93:F94"/>
    <mergeCell ref="A87:A88"/>
    <mergeCell ref="C87:C88"/>
    <mergeCell ref="D87:D88"/>
    <mergeCell ref="E87:E88"/>
    <mergeCell ref="F87:F88"/>
    <mergeCell ref="A97:A98"/>
    <mergeCell ref="C97:C98"/>
    <mergeCell ref="D97:D98"/>
    <mergeCell ref="E97:E98"/>
    <mergeCell ref="F97:F98"/>
    <mergeCell ref="A91:A92"/>
    <mergeCell ref="C91:C92"/>
    <mergeCell ref="D91:D92"/>
    <mergeCell ref="E91:E92"/>
    <mergeCell ref="F91:F92"/>
    <mergeCell ref="A101:A102"/>
    <mergeCell ref="C101:C102"/>
    <mergeCell ref="D101:D102"/>
    <mergeCell ref="E101:E102"/>
    <mergeCell ref="F101:F102"/>
    <mergeCell ref="A95:A96"/>
    <mergeCell ref="C95:C96"/>
    <mergeCell ref="D95:D96"/>
    <mergeCell ref="E95:E96"/>
    <mergeCell ref="F95:F96"/>
    <mergeCell ref="A105:A106"/>
    <mergeCell ref="C105:C106"/>
    <mergeCell ref="D105:D106"/>
    <mergeCell ref="E105:E106"/>
    <mergeCell ref="F105:F106"/>
    <mergeCell ref="A99:A100"/>
    <mergeCell ref="C99:C100"/>
    <mergeCell ref="D99:D100"/>
    <mergeCell ref="E99:E100"/>
    <mergeCell ref="F99:F100"/>
    <mergeCell ref="A109:A110"/>
    <mergeCell ref="C109:C110"/>
    <mergeCell ref="D109:D110"/>
    <mergeCell ref="E109:E110"/>
    <mergeCell ref="F109:F110"/>
    <mergeCell ref="A103:A104"/>
    <mergeCell ref="C103:C104"/>
    <mergeCell ref="D103:D104"/>
    <mergeCell ref="E103:E104"/>
    <mergeCell ref="F103:F104"/>
    <mergeCell ref="A113:A114"/>
    <mergeCell ref="C113:C114"/>
    <mergeCell ref="D113:D114"/>
    <mergeCell ref="E113:E114"/>
    <mergeCell ref="F113:F114"/>
    <mergeCell ref="A107:A108"/>
    <mergeCell ref="C107:C108"/>
    <mergeCell ref="D107:D108"/>
    <mergeCell ref="E107:E108"/>
    <mergeCell ref="F107:F108"/>
    <mergeCell ref="A117:A118"/>
    <mergeCell ref="C117:C118"/>
    <mergeCell ref="D117:D118"/>
    <mergeCell ref="E117:E118"/>
    <mergeCell ref="F117:F118"/>
    <mergeCell ref="A111:A112"/>
    <mergeCell ref="C111:C112"/>
    <mergeCell ref="D111:D112"/>
    <mergeCell ref="E111:E112"/>
    <mergeCell ref="F111:F112"/>
    <mergeCell ref="A121:A122"/>
    <mergeCell ref="C121:C122"/>
    <mergeCell ref="D121:D122"/>
    <mergeCell ref="E121:E122"/>
    <mergeCell ref="F121:F122"/>
    <mergeCell ref="A115:A116"/>
    <mergeCell ref="C115:C116"/>
    <mergeCell ref="D115:D116"/>
    <mergeCell ref="E115:E116"/>
    <mergeCell ref="F115:F116"/>
    <mergeCell ref="A125:A126"/>
    <mergeCell ref="C125:C126"/>
    <mergeCell ref="D125:D126"/>
    <mergeCell ref="E125:E126"/>
    <mergeCell ref="F125:F126"/>
    <mergeCell ref="A119:A120"/>
    <mergeCell ref="C119:C120"/>
    <mergeCell ref="D119:D120"/>
    <mergeCell ref="E119:E120"/>
    <mergeCell ref="F119:F120"/>
    <mergeCell ref="A127:A128"/>
    <mergeCell ref="C127:C128"/>
    <mergeCell ref="D127:D128"/>
    <mergeCell ref="E127:E128"/>
    <mergeCell ref="F127:F128"/>
    <mergeCell ref="A123:A124"/>
    <mergeCell ref="C123:C124"/>
    <mergeCell ref="D123:D124"/>
    <mergeCell ref="E123:E124"/>
    <mergeCell ref="F123:F124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F161:F162"/>
    <mergeCell ref="A155:A156"/>
    <mergeCell ref="C155:C156"/>
    <mergeCell ref="D155:D156"/>
    <mergeCell ref="E155:E156"/>
    <mergeCell ref="A157:A158"/>
    <mergeCell ref="C157:C158"/>
    <mergeCell ref="D157:D158"/>
    <mergeCell ref="E157:E158"/>
    <mergeCell ref="F165:F166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9:F170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73:F174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77:F178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81:F182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85:F186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9:F190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93:F194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97:F198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201:F202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205:F206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B209:F209"/>
    <mergeCell ref="A203:A204"/>
    <mergeCell ref="C203:C204"/>
    <mergeCell ref="D203:D204"/>
    <mergeCell ref="E203:E204"/>
    <mergeCell ref="F203:F204"/>
    <mergeCell ref="A205:A206"/>
    <mergeCell ref="C205:C206"/>
    <mergeCell ref="D205:D206"/>
    <mergeCell ref="E205:E206"/>
    <mergeCell ref="B211:F211"/>
    <mergeCell ref="B212:F212"/>
    <mergeCell ref="B215:D215"/>
    <mergeCell ref="A207:A208"/>
    <mergeCell ref="C207:C208"/>
    <mergeCell ref="D207:D208"/>
    <mergeCell ref="E207:E208"/>
    <mergeCell ref="F207:F208"/>
    <mergeCell ref="E217:G217"/>
    <mergeCell ref="E218:G218"/>
    <mergeCell ref="E219:G219"/>
    <mergeCell ref="E220:G220"/>
    <mergeCell ref="C222:G222"/>
    <mergeCell ref="D9:D10"/>
    <mergeCell ref="C9:C10"/>
    <mergeCell ref="E9:E10"/>
    <mergeCell ref="F9:F10"/>
    <mergeCell ref="B210:F210"/>
    <mergeCell ref="C224:G224"/>
    <mergeCell ref="A229:A230"/>
    <mergeCell ref="C229:C230"/>
    <mergeCell ref="E229:E230"/>
    <mergeCell ref="F229:F230"/>
    <mergeCell ref="A231:A232"/>
    <mergeCell ref="C231:C232"/>
    <mergeCell ref="E231:E232"/>
    <mergeCell ref="F231:F232"/>
    <mergeCell ref="A233:A234"/>
    <mergeCell ref="C233:C234"/>
    <mergeCell ref="E233:E234"/>
    <mergeCell ref="F233:F234"/>
    <mergeCell ref="A235:A236"/>
    <mergeCell ref="C235:C236"/>
    <mergeCell ref="E235:E236"/>
    <mergeCell ref="F235:F236"/>
    <mergeCell ref="A237:A238"/>
    <mergeCell ref="C237:C238"/>
    <mergeCell ref="E237:E238"/>
    <mergeCell ref="F237:F238"/>
    <mergeCell ref="A239:A240"/>
    <mergeCell ref="C239:C240"/>
    <mergeCell ref="E239:E240"/>
    <mergeCell ref="F239:F240"/>
    <mergeCell ref="D239:D240"/>
    <mergeCell ref="A241:A242"/>
    <mergeCell ref="C241:C242"/>
    <mergeCell ref="E241:E242"/>
    <mergeCell ref="F241:F242"/>
    <mergeCell ref="B243:F243"/>
    <mergeCell ref="B244:F244"/>
    <mergeCell ref="D241:D242"/>
    <mergeCell ref="B254:G254"/>
    <mergeCell ref="B255:G255"/>
    <mergeCell ref="B256:F256"/>
    <mergeCell ref="B257:F257"/>
    <mergeCell ref="B245:F245"/>
    <mergeCell ref="B246:D246"/>
    <mergeCell ref="B247:D247"/>
    <mergeCell ref="B253:G2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8" r:id="rId1"/>
  <headerFooter alignWithMargins="0">
    <oddFooter>&amp;C&amp;P</oddFooter>
  </headerFooter>
  <rowBreaks count="4" manualBreakCount="4">
    <brk id="40" max="255" man="1"/>
    <brk id="132" max="255" man="1"/>
    <brk id="162" max="255" man="1"/>
    <brk id="194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21">
      <selection activeCell="F40" sqref="F40"/>
    </sheetView>
  </sheetViews>
  <sheetFormatPr defaultColWidth="9.140625" defaultRowHeight="12.75"/>
  <cols>
    <col min="1" max="1" width="10.00390625" style="78" customWidth="1"/>
    <col min="2" max="2" width="42.57421875" style="77" customWidth="1"/>
    <col min="3" max="3" width="12.57421875" style="78" customWidth="1"/>
    <col min="4" max="4" width="14.140625" style="78" customWidth="1"/>
    <col min="5" max="5" width="12.7109375" style="78" customWidth="1"/>
    <col min="6" max="6" width="9.140625" style="79" customWidth="1"/>
    <col min="7" max="16384" width="9.140625" style="79" customWidth="1"/>
  </cols>
  <sheetData>
    <row r="1" spans="1:5" s="88" customFormat="1" ht="18" customHeight="1">
      <c r="A1" s="132"/>
      <c r="B1" s="188"/>
      <c r="C1" s="132"/>
      <c r="D1" s="132"/>
      <c r="E1" s="187" t="s">
        <v>1063</v>
      </c>
    </row>
    <row r="2" spans="1:5" s="88" customFormat="1" ht="15.75">
      <c r="A2" s="132"/>
      <c r="B2" s="188"/>
      <c r="C2" s="132"/>
      <c r="D2" s="132"/>
      <c r="E2" s="189" t="s">
        <v>1057</v>
      </c>
    </row>
    <row r="3" spans="1:13" s="88" customFormat="1" ht="15.75">
      <c r="A3" s="132"/>
      <c r="B3" s="188"/>
      <c r="C3" s="132"/>
      <c r="D3" s="132"/>
      <c r="E3" s="189" t="s">
        <v>1052</v>
      </c>
      <c r="J3" s="190"/>
      <c r="K3" s="190"/>
      <c r="L3" s="190"/>
      <c r="M3" s="190"/>
    </row>
    <row r="4" spans="1:13" s="88" customFormat="1" ht="15.75">
      <c r="A4" s="132"/>
      <c r="B4" s="188"/>
      <c r="C4" s="132"/>
      <c r="D4" s="132"/>
      <c r="E4" s="189"/>
      <c r="J4" s="190"/>
      <c r="K4" s="190"/>
      <c r="L4" s="190"/>
      <c r="M4" s="190"/>
    </row>
    <row r="5" spans="1:5" ht="55.5" customHeight="1">
      <c r="A5" s="635" t="s">
        <v>1064</v>
      </c>
      <c r="B5" s="635"/>
      <c r="C5" s="635"/>
      <c r="D5" s="635"/>
      <c r="E5" s="635"/>
    </row>
    <row r="6" spans="1:5" ht="18.75">
      <c r="A6" s="195"/>
      <c r="B6" s="195"/>
      <c r="C6" s="195"/>
      <c r="D6" s="195"/>
      <c r="E6" s="195"/>
    </row>
    <row r="7" spans="1:5" ht="15.75">
      <c r="A7" s="632" t="s">
        <v>419</v>
      </c>
      <c r="B7" s="632"/>
      <c r="C7" s="632"/>
      <c r="D7" s="632"/>
      <c r="E7" s="632"/>
    </row>
    <row r="8" spans="1:5" s="77" customFormat="1" ht="25.5">
      <c r="A8" s="194" t="s">
        <v>420</v>
      </c>
      <c r="B8" s="633" t="s">
        <v>417</v>
      </c>
      <c r="C8" s="633"/>
      <c r="D8" s="633"/>
      <c r="E8" s="194" t="s">
        <v>717</v>
      </c>
    </row>
    <row r="9" spans="1:5" ht="19.5" customHeight="1">
      <c r="A9" s="80" t="s">
        <v>138</v>
      </c>
      <c r="B9" s="636" t="s">
        <v>139</v>
      </c>
      <c r="C9" s="636"/>
      <c r="D9" s="636"/>
      <c r="E9" s="130">
        <v>15578</v>
      </c>
    </row>
    <row r="10" spans="1:5" ht="15.75">
      <c r="A10" s="81"/>
      <c r="B10" s="637" t="s">
        <v>421</v>
      </c>
      <c r="C10" s="637"/>
      <c r="D10" s="637"/>
      <c r="E10" s="129">
        <f>SUM(E9:E9)</f>
        <v>15578</v>
      </c>
    </row>
    <row r="11" spans="1:5" ht="15.75">
      <c r="A11" s="82"/>
      <c r="B11" s="83"/>
      <c r="C11" s="84"/>
      <c r="D11" s="84"/>
      <c r="E11" s="85"/>
    </row>
    <row r="12" spans="1:5" s="88" customFormat="1" ht="15.75">
      <c r="A12" s="86"/>
      <c r="B12" s="87"/>
      <c r="C12" s="86"/>
      <c r="D12" s="86"/>
      <c r="E12" s="86"/>
    </row>
    <row r="13" spans="1:5" ht="15.75">
      <c r="A13" s="632" t="s">
        <v>422</v>
      </c>
      <c r="B13" s="632"/>
      <c r="C13" s="632"/>
      <c r="D13" s="632"/>
      <c r="E13" s="632"/>
    </row>
    <row r="14" spans="1:5" s="77" customFormat="1" ht="15" customHeight="1">
      <c r="A14" s="633" t="s">
        <v>423</v>
      </c>
      <c r="B14" s="633" t="s">
        <v>417</v>
      </c>
      <c r="C14" s="633" t="s">
        <v>145</v>
      </c>
      <c r="D14" s="633"/>
      <c r="E14" s="633" t="s">
        <v>719</v>
      </c>
    </row>
    <row r="15" spans="1:5" ht="40.5">
      <c r="A15" s="633"/>
      <c r="B15" s="633"/>
      <c r="C15" s="89" t="s">
        <v>424</v>
      </c>
      <c r="D15" s="90" t="s">
        <v>718</v>
      </c>
      <c r="E15" s="633"/>
    </row>
    <row r="16" spans="1:5" ht="14.25" hidden="1">
      <c r="A16" s="121" t="s">
        <v>150</v>
      </c>
      <c r="B16" s="121" t="s">
        <v>151</v>
      </c>
      <c r="C16" s="122">
        <f>C17</f>
        <v>0</v>
      </c>
      <c r="D16" s="122">
        <f>D17</f>
        <v>0</v>
      </c>
      <c r="E16" s="123">
        <f>C16+D16</f>
        <v>0</v>
      </c>
    </row>
    <row r="17" spans="1:5" ht="15" hidden="1">
      <c r="A17" s="22" t="s">
        <v>182</v>
      </c>
      <c r="B17" s="60" t="s">
        <v>542</v>
      </c>
      <c r="C17" s="124"/>
      <c r="D17" s="124"/>
      <c r="E17" s="125">
        <f aca="true" t="shared" si="0" ref="E17:E28">C17+D17</f>
        <v>0</v>
      </c>
    </row>
    <row r="18" spans="1:5" s="78" customFormat="1" ht="19.5" customHeight="1">
      <c r="A18" s="121" t="s">
        <v>161</v>
      </c>
      <c r="B18" s="121" t="s">
        <v>162</v>
      </c>
      <c r="C18" s="122">
        <f>C19+C21</f>
        <v>0</v>
      </c>
      <c r="D18" s="122">
        <f>D19+D21+D20</f>
        <v>9188</v>
      </c>
      <c r="E18" s="123">
        <f>C18+D18</f>
        <v>9188</v>
      </c>
    </row>
    <row r="19" spans="1:5" ht="30" hidden="1">
      <c r="A19" s="126" t="s">
        <v>287</v>
      </c>
      <c r="B19" s="127" t="s">
        <v>559</v>
      </c>
      <c r="C19" s="124">
        <v>0</v>
      </c>
      <c r="D19" s="124"/>
      <c r="E19" s="125">
        <f t="shared" si="0"/>
        <v>0</v>
      </c>
    </row>
    <row r="20" spans="1:5" ht="27.75" customHeight="1">
      <c r="A20" s="126" t="s">
        <v>299</v>
      </c>
      <c r="B20" s="127" t="s">
        <v>561</v>
      </c>
      <c r="C20" s="124">
        <v>0</v>
      </c>
      <c r="D20" s="124">
        <v>125</v>
      </c>
      <c r="E20" s="125">
        <f t="shared" si="0"/>
        <v>125</v>
      </c>
    </row>
    <row r="21" spans="1:5" ht="19.5" customHeight="1">
      <c r="A21" s="126" t="s">
        <v>301</v>
      </c>
      <c r="B21" s="127" t="s">
        <v>586</v>
      </c>
      <c r="C21" s="124">
        <v>0</v>
      </c>
      <c r="D21" s="124">
        <v>9063</v>
      </c>
      <c r="E21" s="125">
        <f t="shared" si="0"/>
        <v>9063</v>
      </c>
    </row>
    <row r="22" spans="1:5" s="78" customFormat="1" ht="18.75" customHeight="1">
      <c r="A22" s="121" t="s">
        <v>25</v>
      </c>
      <c r="B22" s="121" t="s">
        <v>163</v>
      </c>
      <c r="C22" s="122">
        <f>C23+C25+C24</f>
        <v>0</v>
      </c>
      <c r="D22" s="122">
        <f>D23+D25+D24</f>
        <v>2981</v>
      </c>
      <c r="E22" s="123">
        <f t="shared" si="0"/>
        <v>2981</v>
      </c>
    </row>
    <row r="23" spans="1:5" ht="30">
      <c r="A23" s="126" t="s">
        <v>330</v>
      </c>
      <c r="B23" s="127" t="s">
        <v>331</v>
      </c>
      <c r="C23" s="124">
        <v>0</v>
      </c>
      <c r="D23" s="124">
        <v>2046</v>
      </c>
      <c r="E23" s="125">
        <f t="shared" si="0"/>
        <v>2046</v>
      </c>
    </row>
    <row r="24" spans="1:5" ht="45">
      <c r="A24" s="126" t="s">
        <v>37</v>
      </c>
      <c r="B24" s="127" t="s">
        <v>343</v>
      </c>
      <c r="C24" s="124">
        <v>0</v>
      </c>
      <c r="D24" s="124">
        <v>410</v>
      </c>
      <c r="E24" s="125">
        <f t="shared" si="0"/>
        <v>410</v>
      </c>
    </row>
    <row r="25" spans="1:5" ht="30">
      <c r="A25" s="126" t="s">
        <v>365</v>
      </c>
      <c r="B25" s="127" t="s">
        <v>579</v>
      </c>
      <c r="C25" s="124">
        <v>0</v>
      </c>
      <c r="D25" s="124">
        <v>525</v>
      </c>
      <c r="E25" s="125">
        <f t="shared" si="0"/>
        <v>525</v>
      </c>
    </row>
    <row r="26" spans="1:5" s="78" customFormat="1" ht="17.25" customHeight="1">
      <c r="A26" s="121" t="s">
        <v>51</v>
      </c>
      <c r="B26" s="121" t="s">
        <v>164</v>
      </c>
      <c r="C26" s="122">
        <f>C27+C28</f>
        <v>0</v>
      </c>
      <c r="D26" s="122">
        <f>D27+D28</f>
        <v>3409</v>
      </c>
      <c r="E26" s="123">
        <f t="shared" si="0"/>
        <v>3409</v>
      </c>
    </row>
    <row r="27" spans="1:5" ht="15">
      <c r="A27" s="22" t="s">
        <v>372</v>
      </c>
      <c r="B27" s="127" t="s">
        <v>373</v>
      </c>
      <c r="C27" s="124"/>
      <c r="D27" s="124"/>
      <c r="E27" s="125">
        <f t="shared" si="0"/>
        <v>0</v>
      </c>
    </row>
    <row r="28" spans="1:5" ht="19.5" customHeight="1">
      <c r="A28" s="126" t="s">
        <v>407</v>
      </c>
      <c r="B28" s="127" t="s">
        <v>408</v>
      </c>
      <c r="C28" s="124">
        <v>0</v>
      </c>
      <c r="D28" s="124">
        <v>3409</v>
      </c>
      <c r="E28" s="125">
        <f t="shared" si="0"/>
        <v>3409</v>
      </c>
    </row>
    <row r="29" spans="1:5" ht="18" customHeight="1">
      <c r="A29" s="81"/>
      <c r="B29" s="128" t="s">
        <v>425</v>
      </c>
      <c r="C29" s="129">
        <f>C16+C18+C22+C26</f>
        <v>0</v>
      </c>
      <c r="D29" s="129">
        <f>D16+D18+D22+D26</f>
        <v>15578</v>
      </c>
      <c r="E29" s="129">
        <f>E16+E18+E22+E26</f>
        <v>15578</v>
      </c>
    </row>
    <row r="31" ht="12.75">
      <c r="D31" s="203"/>
    </row>
    <row r="32" spans="1:5" ht="15.75">
      <c r="A32" s="678" t="s">
        <v>1054</v>
      </c>
      <c r="B32" s="679"/>
      <c r="C32" s="679"/>
      <c r="D32" s="679"/>
      <c r="E32" s="679"/>
    </row>
    <row r="33" spans="1:5" s="131" customFormat="1" ht="15.75">
      <c r="A33" s="634"/>
      <c r="B33" s="634"/>
      <c r="C33" s="132"/>
      <c r="D33" s="132"/>
      <c r="E33" s="133"/>
    </row>
  </sheetData>
  <sheetProtection/>
  <mergeCells count="12">
    <mergeCell ref="A5:E5"/>
    <mergeCell ref="A7:E7"/>
    <mergeCell ref="B8:D8"/>
    <mergeCell ref="B9:D9"/>
    <mergeCell ref="B10:D10"/>
    <mergeCell ref="A32:E32"/>
    <mergeCell ref="A13:E13"/>
    <mergeCell ref="A14:A15"/>
    <mergeCell ref="B14:B15"/>
    <mergeCell ref="C14:D14"/>
    <mergeCell ref="E14:E15"/>
    <mergeCell ref="A33:B33"/>
  </mergeCells>
  <printOptions horizontalCentered="1"/>
  <pageMargins left="0.7874015748031497" right="0.7874015748031497" top="0.7874015748031497" bottom="0.3937007874015748" header="0.1968503937007874" footer="0.1968503937007874"/>
  <pageSetup fitToHeight="0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61"/>
  <sheetViews>
    <sheetView showGridLines="0" zoomScalePageLayoutView="0" workbookViewId="0" topLeftCell="A1">
      <selection activeCell="O67" sqref="O67"/>
    </sheetView>
  </sheetViews>
  <sheetFormatPr defaultColWidth="9.140625" defaultRowHeight="12.75"/>
  <cols>
    <col min="1" max="1" width="2.00390625" style="204" customWidth="1"/>
    <col min="2" max="2" width="5.421875" style="204" customWidth="1"/>
    <col min="3" max="3" width="33.140625" style="204" customWidth="1"/>
    <col min="4" max="4" width="16.57421875" style="204" customWidth="1"/>
    <col min="5" max="5" width="15.421875" style="204" customWidth="1"/>
    <col min="6" max="6" width="4.421875" style="204" customWidth="1"/>
    <col min="7" max="7" width="4.7109375" style="204" customWidth="1"/>
    <col min="8" max="8" width="15.421875" style="204" customWidth="1"/>
    <col min="9" max="16384" width="9.140625" style="204" customWidth="1"/>
  </cols>
  <sheetData>
    <row r="1" spans="1:8" ht="18.75" customHeight="1">
      <c r="A1" s="184"/>
      <c r="B1" s="175"/>
      <c r="C1" s="175"/>
      <c r="D1" s="175"/>
      <c r="E1" s="175"/>
      <c r="F1" s="175"/>
      <c r="G1" s="175"/>
      <c r="H1" s="198" t="s">
        <v>535</v>
      </c>
    </row>
    <row r="2" spans="1:8" ht="15.75" customHeight="1">
      <c r="A2" s="175"/>
      <c r="B2" s="175"/>
      <c r="C2" s="175"/>
      <c r="D2" s="657" t="s">
        <v>1057</v>
      </c>
      <c r="E2" s="658"/>
      <c r="F2" s="658"/>
      <c r="G2" s="658"/>
      <c r="H2" s="658"/>
    </row>
    <row r="3" spans="1:8" ht="15.75" customHeight="1">
      <c r="A3" s="175"/>
      <c r="B3" s="175"/>
      <c r="C3" s="175"/>
      <c r="D3" s="175"/>
      <c r="E3" s="657" t="s">
        <v>1052</v>
      </c>
      <c r="F3" s="658"/>
      <c r="G3" s="658"/>
      <c r="H3" s="658"/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59.25" customHeight="1">
      <c r="A5" s="175"/>
      <c r="B5" s="659" t="s">
        <v>720</v>
      </c>
      <c r="C5" s="660"/>
      <c r="D5" s="660"/>
      <c r="E5" s="660"/>
      <c r="F5" s="660"/>
      <c r="G5" s="660"/>
      <c r="H5" s="660"/>
    </row>
    <row r="6" spans="1:8" ht="13.5" customHeight="1">
      <c r="A6" s="175"/>
      <c r="B6" s="175"/>
      <c r="C6" s="175"/>
      <c r="D6" s="175"/>
      <c r="E6" s="175"/>
      <c r="F6" s="175"/>
      <c r="G6" s="175"/>
      <c r="H6" s="175"/>
    </row>
    <row r="7" spans="1:8" ht="30.75" customHeight="1">
      <c r="A7" s="661" t="s">
        <v>417</v>
      </c>
      <c r="B7" s="662"/>
      <c r="C7" s="662"/>
      <c r="D7" s="662"/>
      <c r="E7" s="662"/>
      <c r="F7" s="663"/>
      <c r="G7" s="664" t="s">
        <v>610</v>
      </c>
      <c r="H7" s="664"/>
    </row>
    <row r="8" spans="1:8" ht="31.5" customHeight="1">
      <c r="A8" s="648" t="s">
        <v>593</v>
      </c>
      <c r="B8" s="651"/>
      <c r="C8" s="651"/>
      <c r="D8" s="651"/>
      <c r="E8" s="651"/>
      <c r="F8" s="651"/>
      <c r="G8" s="651"/>
      <c r="H8" s="651"/>
    </row>
    <row r="9" spans="1:8" ht="15" customHeight="1">
      <c r="A9" s="177"/>
      <c r="B9" s="177"/>
      <c r="C9" s="650" t="s">
        <v>471</v>
      </c>
      <c r="D9" s="651"/>
      <c r="E9" s="651"/>
      <c r="F9" s="651"/>
      <c r="G9" s="652">
        <v>125</v>
      </c>
      <c r="H9" s="652"/>
    </row>
    <row r="10" spans="1:8" ht="15" customHeight="1">
      <c r="A10" s="177"/>
      <c r="B10" s="177"/>
      <c r="C10" s="650" t="s">
        <v>473</v>
      </c>
      <c r="D10" s="651"/>
      <c r="E10" s="651"/>
      <c r="F10" s="651"/>
      <c r="G10" s="652">
        <v>125</v>
      </c>
      <c r="H10" s="652"/>
    </row>
    <row r="11" spans="1:8" s="205" customFormat="1" ht="15" customHeight="1">
      <c r="A11" s="179"/>
      <c r="B11" s="179"/>
      <c r="C11" s="180"/>
      <c r="D11" s="181"/>
      <c r="E11" s="181"/>
      <c r="F11" s="181"/>
      <c r="G11" s="182"/>
      <c r="H11" s="182"/>
    </row>
    <row r="12" spans="1:8" s="206" customFormat="1" ht="19.5" customHeight="1">
      <c r="A12" s="644" t="s">
        <v>594</v>
      </c>
      <c r="B12" s="645"/>
      <c r="C12" s="645"/>
      <c r="D12" s="645"/>
      <c r="E12" s="645"/>
      <c r="F12" s="645"/>
      <c r="G12" s="645"/>
      <c r="H12" s="645"/>
    </row>
    <row r="13" spans="1:8" s="207" customFormat="1" ht="15" customHeight="1">
      <c r="A13" s="176"/>
      <c r="B13" s="176"/>
      <c r="C13" s="641" t="s">
        <v>471</v>
      </c>
      <c r="D13" s="642"/>
      <c r="E13" s="642"/>
      <c r="F13" s="642"/>
      <c r="G13" s="643">
        <v>125</v>
      </c>
      <c r="H13" s="643"/>
    </row>
    <row r="14" spans="1:8" ht="15" customHeight="1">
      <c r="A14" s="175"/>
      <c r="B14" s="175"/>
      <c r="C14" s="638" t="s">
        <v>473</v>
      </c>
      <c r="D14" s="639"/>
      <c r="E14" s="639"/>
      <c r="F14" s="639"/>
      <c r="G14" s="640">
        <v>125</v>
      </c>
      <c r="H14" s="640"/>
    </row>
    <row r="15" spans="1:8" ht="15" customHeight="1">
      <c r="A15" s="175"/>
      <c r="B15" s="175"/>
      <c r="C15" s="196"/>
      <c r="D15" s="244"/>
      <c r="E15" s="244"/>
      <c r="F15" s="244"/>
      <c r="G15" s="197"/>
      <c r="H15" s="197"/>
    </row>
    <row r="16" spans="1:8" s="206" customFormat="1" ht="19.5" customHeight="1">
      <c r="A16" s="655" t="s">
        <v>595</v>
      </c>
      <c r="B16" s="656"/>
      <c r="C16" s="656"/>
      <c r="D16" s="656"/>
      <c r="E16" s="656"/>
      <c r="F16" s="656"/>
      <c r="G16" s="656"/>
      <c r="H16" s="656"/>
    </row>
    <row r="17" spans="1:8" ht="15" customHeight="1">
      <c r="A17" s="177"/>
      <c r="B17" s="177"/>
      <c r="C17" s="650" t="s">
        <v>471</v>
      </c>
      <c r="D17" s="651"/>
      <c r="E17" s="651"/>
      <c r="F17" s="651"/>
      <c r="G17" s="652">
        <v>9063</v>
      </c>
      <c r="H17" s="652"/>
    </row>
    <row r="18" spans="1:8" ht="15" customHeight="1">
      <c r="A18" s="177"/>
      <c r="B18" s="177"/>
      <c r="C18" s="650" t="s">
        <v>472</v>
      </c>
      <c r="D18" s="651"/>
      <c r="E18" s="651"/>
      <c r="F18" s="651"/>
      <c r="G18" s="652">
        <v>1700</v>
      </c>
      <c r="H18" s="652"/>
    </row>
    <row r="19" spans="1:8" ht="15" customHeight="1">
      <c r="A19" s="177"/>
      <c r="B19" s="177"/>
      <c r="C19" s="650" t="s">
        <v>473</v>
      </c>
      <c r="D19" s="651"/>
      <c r="E19" s="651"/>
      <c r="F19" s="651"/>
      <c r="G19" s="652">
        <v>6363</v>
      </c>
      <c r="H19" s="652"/>
    </row>
    <row r="20" spans="1:8" ht="15" customHeight="1">
      <c r="A20" s="177"/>
      <c r="B20" s="177"/>
      <c r="C20" s="650" t="s">
        <v>475</v>
      </c>
      <c r="D20" s="651"/>
      <c r="E20" s="651"/>
      <c r="F20" s="651"/>
      <c r="G20" s="652">
        <v>1000</v>
      </c>
      <c r="H20" s="652"/>
    </row>
    <row r="21" spans="1:8" s="205" customFormat="1" ht="15" customHeight="1">
      <c r="A21" s="179"/>
      <c r="B21" s="179"/>
      <c r="C21" s="180"/>
      <c r="D21" s="181"/>
      <c r="E21" s="181"/>
      <c r="F21" s="181"/>
      <c r="G21" s="182"/>
      <c r="H21" s="182"/>
    </row>
    <row r="22" spans="1:8" s="206" customFormat="1" ht="19.5" customHeight="1">
      <c r="A22" s="644" t="s">
        <v>596</v>
      </c>
      <c r="B22" s="645"/>
      <c r="C22" s="645"/>
      <c r="D22" s="645"/>
      <c r="E22" s="645"/>
      <c r="F22" s="645"/>
      <c r="G22" s="645"/>
      <c r="H22" s="645"/>
    </row>
    <row r="23" spans="1:8" s="207" customFormat="1" ht="15" customHeight="1">
      <c r="A23" s="176"/>
      <c r="B23" s="176"/>
      <c r="C23" s="641" t="s">
        <v>471</v>
      </c>
      <c r="D23" s="642"/>
      <c r="E23" s="642"/>
      <c r="F23" s="642"/>
      <c r="G23" s="643">
        <v>9063</v>
      </c>
      <c r="H23" s="643"/>
    </row>
    <row r="24" spans="1:8" ht="15" customHeight="1">
      <c r="A24" s="175"/>
      <c r="B24" s="175"/>
      <c r="C24" s="638" t="s">
        <v>472</v>
      </c>
      <c r="D24" s="639"/>
      <c r="E24" s="639"/>
      <c r="F24" s="639"/>
      <c r="G24" s="640">
        <v>1700</v>
      </c>
      <c r="H24" s="640"/>
    </row>
    <row r="25" spans="1:8" ht="15" customHeight="1">
      <c r="A25" s="175"/>
      <c r="B25" s="175"/>
      <c r="C25" s="638" t="s">
        <v>473</v>
      </c>
      <c r="D25" s="639"/>
      <c r="E25" s="639"/>
      <c r="F25" s="639"/>
      <c r="G25" s="640">
        <v>6363</v>
      </c>
      <c r="H25" s="640"/>
    </row>
    <row r="26" spans="1:8" ht="15" customHeight="1">
      <c r="A26" s="175"/>
      <c r="B26" s="175"/>
      <c r="C26" s="638" t="s">
        <v>475</v>
      </c>
      <c r="D26" s="639"/>
      <c r="E26" s="639"/>
      <c r="F26" s="639"/>
      <c r="G26" s="640">
        <v>1000</v>
      </c>
      <c r="H26" s="640"/>
    </row>
    <row r="27" spans="1:8" ht="15" customHeight="1">
      <c r="A27" s="175"/>
      <c r="B27" s="175"/>
      <c r="C27" s="196"/>
      <c r="D27" s="244"/>
      <c r="E27" s="244"/>
      <c r="F27" s="244"/>
      <c r="G27" s="197"/>
      <c r="H27" s="197"/>
    </row>
    <row r="28" spans="1:8" ht="31.5" customHeight="1">
      <c r="A28" s="648" t="s">
        <v>597</v>
      </c>
      <c r="B28" s="651"/>
      <c r="C28" s="651"/>
      <c r="D28" s="651"/>
      <c r="E28" s="651"/>
      <c r="F28" s="651"/>
      <c r="G28" s="651"/>
      <c r="H28" s="651"/>
    </row>
    <row r="29" spans="1:8" ht="15" customHeight="1">
      <c r="A29" s="177"/>
      <c r="B29" s="177"/>
      <c r="C29" s="650" t="s">
        <v>471</v>
      </c>
      <c r="D29" s="651"/>
      <c r="E29" s="651"/>
      <c r="F29" s="651"/>
      <c r="G29" s="652">
        <v>2981</v>
      </c>
      <c r="H29" s="652"/>
    </row>
    <row r="30" spans="1:8" ht="15" customHeight="1">
      <c r="A30" s="177"/>
      <c r="B30" s="177"/>
      <c r="C30" s="650" t="s">
        <v>473</v>
      </c>
      <c r="D30" s="651"/>
      <c r="E30" s="651"/>
      <c r="F30" s="651"/>
      <c r="G30" s="652">
        <v>2471</v>
      </c>
      <c r="H30" s="652"/>
    </row>
    <row r="31" spans="1:8" ht="15" customHeight="1">
      <c r="A31" s="177"/>
      <c r="B31" s="177"/>
      <c r="C31" s="650" t="s">
        <v>476</v>
      </c>
      <c r="D31" s="651"/>
      <c r="E31" s="651"/>
      <c r="F31" s="651"/>
      <c r="G31" s="652">
        <v>510</v>
      </c>
      <c r="H31" s="652"/>
    </row>
    <row r="32" spans="1:8" s="183" customFormat="1" ht="15" customHeight="1">
      <c r="A32" s="179"/>
      <c r="B32" s="179"/>
      <c r="C32" s="180"/>
      <c r="D32" s="181"/>
      <c r="E32" s="181"/>
      <c r="F32" s="181"/>
      <c r="G32" s="182"/>
      <c r="H32" s="182"/>
    </row>
    <row r="33" spans="1:8" s="183" customFormat="1" ht="15" customHeight="1">
      <c r="A33" s="644" t="s">
        <v>505</v>
      </c>
      <c r="B33" s="645"/>
      <c r="C33" s="645"/>
      <c r="D33" s="645"/>
      <c r="E33" s="645"/>
      <c r="F33" s="645"/>
      <c r="G33" s="645"/>
      <c r="H33" s="645"/>
    </row>
    <row r="34" spans="1:8" s="183" customFormat="1" ht="15" customHeight="1">
      <c r="A34" s="176"/>
      <c r="B34" s="176"/>
      <c r="C34" s="641" t="s">
        <v>471</v>
      </c>
      <c r="D34" s="642"/>
      <c r="E34" s="642"/>
      <c r="F34" s="642"/>
      <c r="G34" s="643">
        <v>2046</v>
      </c>
      <c r="H34" s="643"/>
    </row>
    <row r="35" spans="1:8" s="183" customFormat="1" ht="15" customHeight="1">
      <c r="A35" s="175"/>
      <c r="B35" s="175"/>
      <c r="C35" s="638" t="s">
        <v>473</v>
      </c>
      <c r="D35" s="639"/>
      <c r="E35" s="639"/>
      <c r="F35" s="639"/>
      <c r="G35" s="640">
        <v>2046</v>
      </c>
      <c r="H35" s="640"/>
    </row>
    <row r="36" spans="1:8" s="183" customFormat="1" ht="15" customHeight="1">
      <c r="A36" s="175"/>
      <c r="B36" s="175"/>
      <c r="C36" s="196"/>
      <c r="D36" s="244"/>
      <c r="E36" s="244"/>
      <c r="F36" s="244"/>
      <c r="G36" s="197"/>
      <c r="H36" s="197"/>
    </row>
    <row r="37" spans="1:8" s="206" customFormat="1" ht="19.5" customHeight="1">
      <c r="A37" s="644" t="s">
        <v>509</v>
      </c>
      <c r="B37" s="645"/>
      <c r="C37" s="645"/>
      <c r="D37" s="645"/>
      <c r="E37" s="645"/>
      <c r="F37" s="645"/>
      <c r="G37" s="645"/>
      <c r="H37" s="645"/>
    </row>
    <row r="38" spans="1:8" s="207" customFormat="1" ht="15" customHeight="1">
      <c r="A38" s="176"/>
      <c r="B38" s="176"/>
      <c r="C38" s="641" t="s">
        <v>471</v>
      </c>
      <c r="D38" s="642"/>
      <c r="E38" s="642"/>
      <c r="F38" s="642"/>
      <c r="G38" s="643">
        <v>410</v>
      </c>
      <c r="H38" s="643"/>
    </row>
    <row r="39" spans="1:8" ht="15" customHeight="1">
      <c r="A39" s="175"/>
      <c r="B39" s="175"/>
      <c r="C39" s="638" t="s">
        <v>473</v>
      </c>
      <c r="D39" s="639"/>
      <c r="E39" s="639"/>
      <c r="F39" s="639"/>
      <c r="G39" s="640">
        <v>410</v>
      </c>
      <c r="H39" s="640"/>
    </row>
    <row r="40" spans="1:8" ht="15" customHeight="1">
      <c r="A40" s="175"/>
      <c r="B40" s="175"/>
      <c r="C40" s="196"/>
      <c r="D40" s="244"/>
      <c r="E40" s="244"/>
      <c r="F40" s="244"/>
      <c r="G40" s="197"/>
      <c r="H40" s="197"/>
    </row>
    <row r="41" spans="1:8" s="206" customFormat="1" ht="19.5" customHeight="1">
      <c r="A41" s="644" t="s">
        <v>598</v>
      </c>
      <c r="B41" s="645"/>
      <c r="C41" s="645"/>
      <c r="D41" s="645"/>
      <c r="E41" s="645"/>
      <c r="F41" s="645"/>
      <c r="G41" s="645"/>
      <c r="H41" s="645"/>
    </row>
    <row r="42" spans="1:8" s="207" customFormat="1" ht="15" customHeight="1">
      <c r="A42" s="176"/>
      <c r="B42" s="176"/>
      <c r="C42" s="641" t="s">
        <v>471</v>
      </c>
      <c r="D42" s="642"/>
      <c r="E42" s="642"/>
      <c r="F42" s="642"/>
      <c r="G42" s="643">
        <v>525</v>
      </c>
      <c r="H42" s="643"/>
    </row>
    <row r="43" spans="1:8" ht="15" customHeight="1">
      <c r="A43" s="175"/>
      <c r="B43" s="175"/>
      <c r="C43" s="638" t="s">
        <v>473</v>
      </c>
      <c r="D43" s="639"/>
      <c r="E43" s="639"/>
      <c r="F43" s="639"/>
      <c r="G43" s="640">
        <v>15</v>
      </c>
      <c r="H43" s="640"/>
    </row>
    <row r="44" spans="1:8" ht="15" customHeight="1">
      <c r="A44" s="175"/>
      <c r="B44" s="175"/>
      <c r="C44" s="638" t="s">
        <v>476</v>
      </c>
      <c r="D44" s="639"/>
      <c r="E44" s="639"/>
      <c r="F44" s="639"/>
      <c r="G44" s="640">
        <v>510</v>
      </c>
      <c r="H44" s="640"/>
    </row>
    <row r="45" spans="3:8" ht="15" customHeight="1">
      <c r="C45" s="208"/>
      <c r="D45" s="202"/>
      <c r="E45" s="202"/>
      <c r="F45" s="202"/>
      <c r="G45" s="209"/>
      <c r="H45" s="209"/>
    </row>
    <row r="46" spans="1:8" ht="31.5" customHeight="1">
      <c r="A46" s="648" t="s">
        <v>599</v>
      </c>
      <c r="B46" s="649"/>
      <c r="C46" s="649"/>
      <c r="D46" s="649"/>
      <c r="E46" s="649"/>
      <c r="F46" s="649"/>
      <c r="G46" s="649"/>
      <c r="H46" s="649"/>
    </row>
    <row r="47" spans="1:8" s="207" customFormat="1" ht="15" customHeight="1">
      <c r="A47" s="177"/>
      <c r="B47" s="177"/>
      <c r="C47" s="650" t="s">
        <v>471</v>
      </c>
      <c r="D47" s="651"/>
      <c r="E47" s="651"/>
      <c r="F47" s="651"/>
      <c r="G47" s="652">
        <v>3409</v>
      </c>
      <c r="H47" s="652"/>
    </row>
    <row r="48" spans="1:8" ht="15" customHeight="1">
      <c r="A48" s="178"/>
      <c r="B48" s="178"/>
      <c r="C48" s="653" t="s">
        <v>473</v>
      </c>
      <c r="D48" s="649"/>
      <c r="E48" s="649"/>
      <c r="F48" s="649"/>
      <c r="G48" s="654">
        <v>3409</v>
      </c>
      <c r="H48" s="654"/>
    </row>
    <row r="49" spans="1:8" ht="15" customHeight="1">
      <c r="A49" s="175"/>
      <c r="B49" s="175"/>
      <c r="C49" s="196"/>
      <c r="D49" s="244"/>
      <c r="E49" s="244"/>
      <c r="F49" s="244"/>
      <c r="G49" s="197"/>
      <c r="H49" s="197"/>
    </row>
    <row r="50" spans="1:8" s="206" customFormat="1" ht="19.5" customHeight="1">
      <c r="A50" s="644" t="s">
        <v>527</v>
      </c>
      <c r="B50" s="645"/>
      <c r="C50" s="645"/>
      <c r="D50" s="645"/>
      <c r="E50" s="645"/>
      <c r="F50" s="645"/>
      <c r="G50" s="645"/>
      <c r="H50" s="645"/>
    </row>
    <row r="51" spans="1:8" s="207" customFormat="1" ht="15" customHeight="1">
      <c r="A51" s="176"/>
      <c r="B51" s="176"/>
      <c r="C51" s="641" t="s">
        <v>471</v>
      </c>
      <c r="D51" s="642"/>
      <c r="E51" s="642"/>
      <c r="F51" s="642"/>
      <c r="G51" s="643">
        <v>3409</v>
      </c>
      <c r="H51" s="643"/>
    </row>
    <row r="52" spans="1:8" ht="15" customHeight="1">
      <c r="A52" s="175"/>
      <c r="B52" s="175"/>
      <c r="C52" s="638" t="s">
        <v>473</v>
      </c>
      <c r="D52" s="639"/>
      <c r="E52" s="639"/>
      <c r="F52" s="639"/>
      <c r="G52" s="640">
        <v>3409</v>
      </c>
      <c r="H52" s="640"/>
    </row>
    <row r="53" spans="1:8" ht="15" customHeight="1">
      <c r="A53" s="175"/>
      <c r="B53" s="175"/>
      <c r="C53" s="196"/>
      <c r="D53" s="244"/>
      <c r="E53" s="244"/>
      <c r="F53" s="244"/>
      <c r="G53" s="197"/>
      <c r="H53" s="197"/>
    </row>
    <row r="54" spans="1:8" s="206" customFormat="1" ht="19.5" customHeight="1">
      <c r="A54" s="644" t="s">
        <v>418</v>
      </c>
      <c r="B54" s="645"/>
      <c r="C54" s="645"/>
      <c r="D54" s="645"/>
      <c r="E54" s="645"/>
      <c r="F54" s="645"/>
      <c r="G54" s="645"/>
      <c r="H54" s="645"/>
    </row>
    <row r="55" spans="1:8" ht="15" customHeight="1">
      <c r="A55" s="175"/>
      <c r="B55" s="175"/>
      <c r="C55" s="641" t="s">
        <v>471</v>
      </c>
      <c r="D55" s="642"/>
      <c r="E55" s="642"/>
      <c r="F55" s="642"/>
      <c r="G55" s="643">
        <v>15578</v>
      </c>
      <c r="H55" s="643"/>
    </row>
    <row r="56" spans="1:8" ht="15" customHeight="1">
      <c r="A56" s="175"/>
      <c r="B56" s="175"/>
      <c r="C56" s="641" t="s">
        <v>472</v>
      </c>
      <c r="D56" s="642"/>
      <c r="E56" s="642"/>
      <c r="F56" s="642"/>
      <c r="G56" s="643">
        <v>1700</v>
      </c>
      <c r="H56" s="643"/>
    </row>
    <row r="57" spans="1:8" ht="15" customHeight="1">
      <c r="A57" s="175"/>
      <c r="B57" s="175"/>
      <c r="C57" s="641" t="s">
        <v>473</v>
      </c>
      <c r="D57" s="642"/>
      <c r="E57" s="642"/>
      <c r="F57" s="642"/>
      <c r="G57" s="643">
        <v>12368</v>
      </c>
      <c r="H57" s="643"/>
    </row>
    <row r="58" spans="1:8" ht="15" customHeight="1">
      <c r="A58" s="175"/>
      <c r="B58" s="175"/>
      <c r="C58" s="641" t="s">
        <v>475</v>
      </c>
      <c r="D58" s="642"/>
      <c r="E58" s="642"/>
      <c r="F58" s="642"/>
      <c r="G58" s="643">
        <v>1000</v>
      </c>
      <c r="H58" s="643"/>
    </row>
    <row r="59" spans="1:8" ht="15" customHeight="1">
      <c r="A59" s="175"/>
      <c r="B59" s="175"/>
      <c r="C59" s="641" t="s">
        <v>476</v>
      </c>
      <c r="D59" s="642"/>
      <c r="E59" s="642"/>
      <c r="F59" s="642"/>
      <c r="G59" s="643">
        <v>510</v>
      </c>
      <c r="H59" s="643"/>
    </row>
    <row r="60" spans="6:8" ht="14.25" customHeight="1">
      <c r="F60" s="646"/>
      <c r="G60" s="647"/>
      <c r="H60" s="647"/>
    </row>
    <row r="61" spans="1:10" s="175" customFormat="1" ht="18">
      <c r="A61" s="675" t="s">
        <v>1054</v>
      </c>
      <c r="B61" s="675"/>
      <c r="C61" s="675"/>
      <c r="D61" s="675"/>
      <c r="E61" s="675"/>
      <c r="F61" s="675"/>
      <c r="G61" s="675"/>
      <c r="H61" s="675"/>
      <c r="I61" s="193"/>
      <c r="J61" s="193"/>
    </row>
  </sheetData>
  <sheetProtection/>
  <mergeCells count="80">
    <mergeCell ref="A61:H61"/>
    <mergeCell ref="A8:H8"/>
    <mergeCell ref="C9:F9"/>
    <mergeCell ref="G9:H9"/>
    <mergeCell ref="C10:F10"/>
    <mergeCell ref="G10:H10"/>
    <mergeCell ref="D2:H2"/>
    <mergeCell ref="E3:H3"/>
    <mergeCell ref="B5:H5"/>
    <mergeCell ref="A7:F7"/>
    <mergeCell ref="G7:H7"/>
    <mergeCell ref="A12:H12"/>
    <mergeCell ref="C13:F13"/>
    <mergeCell ref="G13:H13"/>
    <mergeCell ref="C14:F14"/>
    <mergeCell ref="G14:H14"/>
    <mergeCell ref="A16:H16"/>
    <mergeCell ref="C17:F17"/>
    <mergeCell ref="G17:H17"/>
    <mergeCell ref="C18:F18"/>
    <mergeCell ref="G18:H18"/>
    <mergeCell ref="C19:F19"/>
    <mergeCell ref="G19:H19"/>
    <mergeCell ref="C20:F20"/>
    <mergeCell ref="G20:H20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A28:H28"/>
    <mergeCell ref="C29:F29"/>
    <mergeCell ref="G29:H29"/>
    <mergeCell ref="C30:F30"/>
    <mergeCell ref="G30:H30"/>
    <mergeCell ref="C31:F31"/>
    <mergeCell ref="G31:H31"/>
    <mergeCell ref="A37:H37"/>
    <mergeCell ref="C38:F38"/>
    <mergeCell ref="G38:H38"/>
    <mergeCell ref="A33:H33"/>
    <mergeCell ref="C34:F34"/>
    <mergeCell ref="G34:H34"/>
    <mergeCell ref="C39:F39"/>
    <mergeCell ref="G39:H39"/>
    <mergeCell ref="A41:H41"/>
    <mergeCell ref="C42:F42"/>
    <mergeCell ref="G42:H42"/>
    <mergeCell ref="C43:F43"/>
    <mergeCell ref="G43:H43"/>
    <mergeCell ref="G52:H52"/>
    <mergeCell ref="A54:H54"/>
    <mergeCell ref="C44:F44"/>
    <mergeCell ref="G44:H44"/>
    <mergeCell ref="A46:H46"/>
    <mergeCell ref="C47:F47"/>
    <mergeCell ref="G47:H47"/>
    <mergeCell ref="C48:F48"/>
    <mergeCell ref="G48:H48"/>
    <mergeCell ref="F60:H60"/>
    <mergeCell ref="C55:F55"/>
    <mergeCell ref="G55:H55"/>
    <mergeCell ref="C56:F56"/>
    <mergeCell ref="G56:H56"/>
    <mergeCell ref="C57:F57"/>
    <mergeCell ref="G57:H57"/>
    <mergeCell ref="C35:F35"/>
    <mergeCell ref="G35:H35"/>
    <mergeCell ref="C58:F58"/>
    <mergeCell ref="G58:H58"/>
    <mergeCell ref="C59:F59"/>
    <mergeCell ref="G59:H59"/>
    <mergeCell ref="A50:H50"/>
    <mergeCell ref="C51:F51"/>
    <mergeCell ref="G51:H51"/>
    <mergeCell ref="C52:F52"/>
  </mergeCells>
  <printOptions/>
  <pageMargins left="0.7874015748031497" right="0.7874015748031497" top="0.7874015748031497" bottom="0.7874015748031497" header="0.1968503937007874" footer="0.1968503937007874"/>
  <pageSetup fitToHeight="0" horizontalDpi="600" verticalDpi="600" orientation="portrait" pageOrder="overThenDown" paperSize="9" scale="87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0" sqref="A20:E20"/>
    </sheetView>
  </sheetViews>
  <sheetFormatPr defaultColWidth="9.140625" defaultRowHeight="12.75"/>
  <cols>
    <col min="1" max="1" width="7.28125" style="98" customWidth="1"/>
    <col min="2" max="2" width="35.28125" style="98" customWidth="1"/>
    <col min="3" max="3" width="13.421875" style="98" customWidth="1"/>
    <col min="4" max="4" width="14.00390625" style="98" customWidth="1"/>
    <col min="5" max="5" width="14.421875" style="98" customWidth="1"/>
    <col min="6" max="16384" width="9.140625" style="98" customWidth="1"/>
  </cols>
  <sheetData>
    <row r="1" spans="1:5" ht="15.75">
      <c r="A1" s="245"/>
      <c r="B1" s="245"/>
      <c r="C1" s="76"/>
      <c r="D1" s="76"/>
      <c r="E1" s="246" t="s">
        <v>426</v>
      </c>
    </row>
    <row r="2" spans="1:5" ht="15.75">
      <c r="A2" s="245"/>
      <c r="B2" s="245"/>
      <c r="C2" s="76"/>
      <c r="D2" s="76"/>
      <c r="E2" s="247" t="s">
        <v>1057</v>
      </c>
    </row>
    <row r="3" spans="1:5" ht="15.75">
      <c r="A3" s="245"/>
      <c r="B3" s="245"/>
      <c r="C3" s="76"/>
      <c r="D3" s="76"/>
      <c r="E3" s="247" t="s">
        <v>1052</v>
      </c>
    </row>
    <row r="4" spans="1:5" ht="12.75">
      <c r="A4" s="76"/>
      <c r="B4" s="76"/>
      <c r="C4" s="76"/>
      <c r="D4" s="76"/>
      <c r="E4" s="76"/>
    </row>
    <row r="5" spans="1:6" ht="34.5" customHeight="1">
      <c r="A5" s="665" t="s">
        <v>446</v>
      </c>
      <c r="B5" s="665"/>
      <c r="C5" s="665"/>
      <c r="D5" s="665"/>
      <c r="E5" s="665"/>
      <c r="F5" s="100"/>
    </row>
    <row r="6" spans="1:6" ht="15">
      <c r="A6" s="101"/>
      <c r="B6" s="101"/>
      <c r="C6" s="101"/>
      <c r="D6" s="101"/>
      <c r="E6" s="102"/>
      <c r="F6" s="101"/>
    </row>
    <row r="7" spans="1:6" ht="15.75">
      <c r="A7" s="248" t="s">
        <v>427</v>
      </c>
      <c r="B7" s="248" t="s">
        <v>417</v>
      </c>
      <c r="C7" s="249" t="s">
        <v>447</v>
      </c>
      <c r="D7" s="249" t="s">
        <v>539</v>
      </c>
      <c r="E7" s="249" t="s">
        <v>721</v>
      </c>
      <c r="F7" s="101"/>
    </row>
    <row r="8" spans="1:6" ht="15.75">
      <c r="A8" s="250" t="s">
        <v>428</v>
      </c>
      <c r="B8" s="251" t="s">
        <v>145</v>
      </c>
      <c r="C8" s="252">
        <f>SUM(C9)</f>
        <v>1540739</v>
      </c>
      <c r="D8" s="252">
        <f>SUM(D9)</f>
        <v>1600000</v>
      </c>
      <c r="E8" s="252">
        <f>SUM(E9)</f>
        <v>1650000</v>
      </c>
      <c r="F8" s="103"/>
    </row>
    <row r="9" spans="1:6" ht="31.5">
      <c r="A9" s="253"/>
      <c r="B9" s="254" t="s">
        <v>429</v>
      </c>
      <c r="C9" s="255">
        <v>1540739</v>
      </c>
      <c r="D9" s="255">
        <v>1600000</v>
      </c>
      <c r="E9" s="255">
        <v>1650000</v>
      </c>
      <c r="F9" s="101"/>
    </row>
    <row r="10" spans="1:6" ht="15.75">
      <c r="A10" s="256" t="s">
        <v>430</v>
      </c>
      <c r="B10" s="251" t="s">
        <v>431</v>
      </c>
      <c r="C10" s="257">
        <f>SUM(C11:C15)</f>
        <v>1593596</v>
      </c>
      <c r="D10" s="257">
        <f>SUM(D11:D15)</f>
        <v>1600000</v>
      </c>
      <c r="E10" s="257">
        <f>SUM(E11:E15)</f>
        <v>1650000</v>
      </c>
      <c r="F10" s="103"/>
    </row>
    <row r="11" spans="1:6" ht="15.75">
      <c r="A11" s="258">
        <v>1</v>
      </c>
      <c r="B11" s="254" t="s">
        <v>432</v>
      </c>
      <c r="C11" s="259">
        <v>155047</v>
      </c>
      <c r="D11" s="259">
        <v>229600</v>
      </c>
      <c r="E11" s="259">
        <v>274600</v>
      </c>
      <c r="F11" s="101"/>
    </row>
    <row r="12" spans="1:6" ht="15.75">
      <c r="A12" s="258">
        <v>2</v>
      </c>
      <c r="B12" s="254" t="s">
        <v>433</v>
      </c>
      <c r="C12" s="259">
        <v>0</v>
      </c>
      <c r="D12" s="259">
        <v>100000</v>
      </c>
      <c r="E12" s="259">
        <v>130000</v>
      </c>
      <c r="F12" s="101"/>
    </row>
    <row r="13" spans="1:6" ht="31.5">
      <c r="A13" s="258">
        <v>3</v>
      </c>
      <c r="B13" s="254" t="s">
        <v>434</v>
      </c>
      <c r="C13" s="255">
        <v>0</v>
      </c>
      <c r="D13" s="255">
        <v>0</v>
      </c>
      <c r="E13" s="255">
        <v>0</v>
      </c>
      <c r="F13" s="101"/>
    </row>
    <row r="14" spans="1:6" ht="15.75">
      <c r="A14" s="258">
        <v>4</v>
      </c>
      <c r="B14" s="254" t="s">
        <v>435</v>
      </c>
      <c r="C14" s="259">
        <f>1281904+40406</f>
        <v>1322310</v>
      </c>
      <c r="D14" s="259">
        <f>1085400+50000+18700</f>
        <v>1154100</v>
      </c>
      <c r="E14" s="259">
        <f>1085400+43700</f>
        <v>1129100</v>
      </c>
      <c r="F14" s="101"/>
    </row>
    <row r="15" spans="1:6" ht="15.75">
      <c r="A15" s="258">
        <v>5</v>
      </c>
      <c r="B15" s="254" t="s">
        <v>436</v>
      </c>
      <c r="C15" s="259">
        <v>116239</v>
      </c>
      <c r="D15" s="259">
        <v>116300</v>
      </c>
      <c r="E15" s="259">
        <v>116300</v>
      </c>
      <c r="F15" s="101"/>
    </row>
    <row r="16" spans="1:6" ht="15.75">
      <c r="A16" s="256" t="s">
        <v>437</v>
      </c>
      <c r="B16" s="251" t="s">
        <v>438</v>
      </c>
      <c r="C16" s="252">
        <f>SUM(C17)</f>
        <v>52857</v>
      </c>
      <c r="D16" s="252">
        <f>SUM(D17)</f>
        <v>0</v>
      </c>
      <c r="E16" s="252">
        <f>SUM(E17)</f>
        <v>0</v>
      </c>
      <c r="F16" s="103"/>
    </row>
    <row r="17" spans="1:6" ht="15.75">
      <c r="A17" s="253"/>
      <c r="B17" s="260" t="s">
        <v>439</v>
      </c>
      <c r="C17" s="261">
        <v>52857</v>
      </c>
      <c r="D17" s="261">
        <v>0</v>
      </c>
      <c r="E17" s="261">
        <v>0</v>
      </c>
      <c r="F17" s="101"/>
    </row>
    <row r="19" spans="3:5" ht="12.75">
      <c r="C19" s="99"/>
      <c r="D19" s="99"/>
      <c r="E19" s="99"/>
    </row>
    <row r="20" spans="1:5" ht="18.75">
      <c r="A20" s="676" t="s">
        <v>1054</v>
      </c>
      <c r="B20" s="677"/>
      <c r="C20" s="677"/>
      <c r="D20" s="677"/>
      <c r="E20" s="677"/>
    </row>
    <row r="21" ht="12.75">
      <c r="C21" s="99"/>
    </row>
    <row r="23" ht="12.75">
      <c r="C23" s="99"/>
    </row>
  </sheetData>
  <sheetProtection/>
  <mergeCells count="2">
    <mergeCell ref="A5:E5"/>
    <mergeCell ref="A20:E20"/>
  </mergeCells>
  <printOptions/>
  <pageMargins left="0.984251968503937" right="0.7874015748031497" top="0.5905511811023623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 Djadela</dc:creator>
  <cp:keywords/>
  <dc:description/>
  <cp:lastModifiedBy>Sanita Djadela</cp:lastModifiedBy>
  <cp:lastPrinted>2024-02-05T15:47:21Z</cp:lastPrinted>
  <dcterms:created xsi:type="dcterms:W3CDTF">2021-01-28T12:39:38Z</dcterms:created>
  <dcterms:modified xsi:type="dcterms:W3CDTF">2024-02-22T10:11:44Z</dcterms:modified>
  <cp:category/>
  <cp:version/>
  <cp:contentType/>
  <cp:contentStatus/>
</cp:coreProperties>
</file>